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T33" i="1"/>
  <c r="R33"/>
  <c r="P33"/>
  <c r="N33"/>
  <c r="L33"/>
  <c r="J33"/>
  <c r="H33"/>
  <c r="F33"/>
  <c r="T32"/>
  <c r="S32"/>
  <c r="S33" s="1"/>
  <c r="R32"/>
  <c r="Q32"/>
  <c r="Q33" s="1"/>
  <c r="P32"/>
  <c r="O32"/>
  <c r="O33" s="1"/>
  <c r="N32"/>
  <c r="M32"/>
  <c r="M33" s="1"/>
  <c r="L32"/>
  <c r="K32"/>
  <c r="K33" s="1"/>
  <c r="J32"/>
  <c r="I32"/>
  <c r="I33" s="1"/>
  <c r="H32"/>
  <c r="G32"/>
  <c r="G33" s="1"/>
  <c r="F32"/>
  <c r="D32"/>
  <c r="E27"/>
  <c r="E34" s="1"/>
  <c r="D27"/>
  <c r="D34" s="1"/>
  <c r="T26"/>
  <c r="R26"/>
  <c r="Q26"/>
  <c r="P26"/>
  <c r="O26"/>
  <c r="N26"/>
  <c r="L26"/>
  <c r="L27" s="1"/>
  <c r="L28" s="1"/>
  <c r="K26"/>
  <c r="J26"/>
  <c r="H26"/>
  <c r="G26"/>
  <c r="F26"/>
  <c r="I26" s="1"/>
  <c r="T25"/>
  <c r="S25"/>
  <c r="S27" s="1"/>
  <c r="S28" s="1"/>
  <c r="R25"/>
  <c r="Q25"/>
  <c r="Q27" s="1"/>
  <c r="Q28" s="1"/>
  <c r="P25"/>
  <c r="O25"/>
  <c r="N25"/>
  <c r="K25"/>
  <c r="K27" s="1"/>
  <c r="K28" s="1"/>
  <c r="J25"/>
  <c r="H25"/>
  <c r="G25"/>
  <c r="I25" s="1"/>
  <c r="F25"/>
  <c r="T23"/>
  <c r="T27" s="1"/>
  <c r="T28" s="1"/>
  <c r="S23"/>
  <c r="R23"/>
  <c r="R27" s="1"/>
  <c r="R28" s="1"/>
  <c r="P23"/>
  <c r="P27" s="1"/>
  <c r="P28" s="1"/>
  <c r="O23"/>
  <c r="O27" s="1"/>
  <c r="O28" s="1"/>
  <c r="N23"/>
  <c r="N27" s="1"/>
  <c r="N28" s="1"/>
  <c r="M23"/>
  <c r="M27" s="1"/>
  <c r="M28" s="1"/>
  <c r="K23"/>
  <c r="J23"/>
  <c r="J27" s="1"/>
  <c r="J28" s="1"/>
  <c r="H23"/>
  <c r="H27" s="1"/>
  <c r="H28" s="1"/>
  <c r="G23"/>
  <c r="F23"/>
  <c r="I23" s="1"/>
  <c r="S17"/>
  <c r="S34" s="1"/>
  <c r="S36" s="1"/>
  <c r="Q17"/>
  <c r="O17"/>
  <c r="O34" s="1"/>
  <c r="O36" s="1"/>
  <c r="M17"/>
  <c r="E17"/>
  <c r="E18" s="1"/>
  <c r="D17"/>
  <c r="I15"/>
  <c r="T14"/>
  <c r="T17" s="1"/>
  <c r="R14"/>
  <c r="Q14"/>
  <c r="P14"/>
  <c r="P17" s="1"/>
  <c r="O14"/>
  <c r="N14"/>
  <c r="N17" s="1"/>
  <c r="L14"/>
  <c r="L17" s="1"/>
  <c r="K14"/>
  <c r="J14"/>
  <c r="J17" s="1"/>
  <c r="H14"/>
  <c r="H17" s="1"/>
  <c r="G14"/>
  <c r="I14" s="1"/>
  <c r="I17" s="1"/>
  <c r="F14"/>
  <c r="F17" s="1"/>
  <c r="R13"/>
  <c r="R17" s="1"/>
  <c r="Q13"/>
  <c r="K13"/>
  <c r="K17" s="1"/>
  <c r="F34" l="1"/>
  <c r="F36" s="1"/>
  <c r="F18"/>
  <c r="P34"/>
  <c r="P36" s="1"/>
  <c r="P18"/>
  <c r="R34"/>
  <c r="R36" s="1"/>
  <c r="R18"/>
  <c r="J34"/>
  <c r="J36" s="1"/>
  <c r="J18"/>
  <c r="T34"/>
  <c r="T36" s="1"/>
  <c r="T18"/>
  <c r="H34"/>
  <c r="H36" s="1"/>
  <c r="H18"/>
  <c r="N34"/>
  <c r="N36" s="1"/>
  <c r="N18"/>
  <c r="M34"/>
  <c r="M36" s="1"/>
  <c r="I27"/>
  <c r="I28" s="1"/>
  <c r="K34"/>
  <c r="K36" s="1"/>
  <c r="K18"/>
  <c r="I34"/>
  <c r="I36" s="1"/>
  <c r="I18"/>
  <c r="L34"/>
  <c r="L36" s="1"/>
  <c r="L18"/>
  <c r="Q34"/>
  <c r="Q36" s="1"/>
  <c r="G17"/>
  <c r="O18"/>
  <c r="S18"/>
  <c r="G27"/>
  <c r="G28" s="1"/>
  <c r="F27"/>
  <c r="F28" s="1"/>
  <c r="M18"/>
  <c r="Q18"/>
  <c r="E28"/>
  <c r="G34" l="1"/>
  <c r="G36" s="1"/>
  <c r="G18"/>
</calcChain>
</file>

<file path=xl/sharedStrings.xml><?xml version="1.0" encoding="utf-8"?>
<sst xmlns="http://schemas.openxmlformats.org/spreadsheetml/2006/main" count="63" uniqueCount="55">
  <si>
    <t xml:space="preserve">Согласовано:
Директор                                                                                                                                                                                                              
  ________________   /  Шумская И.А.                                            /
</t>
  </si>
  <si>
    <t>Утверждаю:
Генеральный директор
ООО " ФСП "
_______Бутикова В.И.</t>
  </si>
  <si>
    <t>Перспективное меню и пищевая ценность приготовляемых блюд для ОГБОУ, МОУ Вейделевского района на 2025 год</t>
  </si>
  <si>
    <t xml:space="preserve">Рацион: Школа </t>
  </si>
  <si>
    <t>понедельник</t>
  </si>
  <si>
    <t>Сезон:</t>
  </si>
  <si>
    <t>осенне-зимний</t>
  </si>
  <si>
    <t>ПРИМЕЧАНИЕ: * замена на весенний период</t>
  </si>
  <si>
    <t>Неделя:</t>
  </si>
  <si>
    <t>Возраст:</t>
  </si>
  <si>
    <t>с 7-11 лет;12 и старше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</si>
  <si>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</si>
  <si>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</si>
  <si>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</si>
  <si>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</si>
  <si>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</si>
  <si>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</si>
  <si>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</si>
  <si>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</si>
  <si>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</si>
  <si>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</si>
  <si>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</si>
  <si>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В2</t>
  </si>
  <si>
    <t>C</t>
  </si>
  <si>
    <t>A</t>
  </si>
  <si>
    <t>E</t>
  </si>
  <si>
    <t>Ca</t>
  </si>
  <si>
    <t>P</t>
  </si>
  <si>
    <t>ZN</t>
  </si>
  <si>
    <t>I</t>
  </si>
  <si>
    <t>Mg</t>
  </si>
  <si>
    <t>Fe</t>
  </si>
  <si>
    <t xml:space="preserve">Завтрак </t>
  </si>
  <si>
    <t>ПР</t>
  </si>
  <si>
    <t>Подгарнировка:Помидор соленый</t>
  </si>
  <si>
    <t>Плов  с  птицей</t>
  </si>
  <si>
    <t>Масло сливочное порционно</t>
  </si>
  <si>
    <t>Хлеб пшеничный</t>
  </si>
  <si>
    <t>Чай с лимоном</t>
  </si>
  <si>
    <t>Молоко ''Авишка''</t>
  </si>
  <si>
    <t xml:space="preserve">Итого за Завтрак </t>
  </si>
  <si>
    <t>% от суточной нормы</t>
  </si>
  <si>
    <t>Обед (полноценный рацион питания)</t>
  </si>
  <si>
    <t>Капуста квашенная с горошком консервированным</t>
  </si>
  <si>
    <t>Суп картофельный с горохом на м/б</t>
  </si>
  <si>
    <t>Птица тушенная с овощами</t>
  </si>
  <si>
    <t>Каша гречневая  рассыпчатая с маслом</t>
  </si>
  <si>
    <t>Компот из быстрозамороженных ягод  (компотная смесь)</t>
  </si>
  <si>
    <t>Хлеб ржано-пшеничный</t>
  </si>
  <si>
    <t>Итого за Обед (полноценный рацион питания)</t>
  </si>
  <si>
    <t>Полдник</t>
  </si>
  <si>
    <t>Итого за Полдник</t>
  </si>
  <si>
    <t>Итого в день</t>
  </si>
  <si>
    <t>суточная норма</t>
  </si>
  <si>
    <t>Приложение 8 к СанПиН 2.3/2.4.3590-20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</si>
</sst>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%"/>
    <numFmt numFmtId="166" formatCode="0.0"/>
  </numFmts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/>
    </xf>
    <xf numFmtId="2" fontId="1" fillId="2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2" borderId="0" xfId="0" applyFont="1" applyFill="1"/>
    <xf numFmtId="2" fontId="1" fillId="2" borderId="0" xfId="0" applyNumberFormat="1" applyFont="1" applyFill="1"/>
    <xf numFmtId="0" fontId="1" fillId="2" borderId="0" xfId="0" applyNumberFormat="1" applyFont="1" applyFill="1" applyAlignment="1">
      <alignment horizontal="right"/>
    </xf>
    <xf numFmtId="0" fontId="1" fillId="2" borderId="0" xfId="0" applyNumberFormat="1" applyFont="1" applyFill="1" applyAlignment="1">
      <alignment horizontal="right"/>
    </xf>
    <xf numFmtId="0" fontId="2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2" borderId="0" xfId="0" applyNumberFormat="1" applyFont="1" applyFill="1" applyAlignment="1">
      <alignment horizontal="center"/>
    </xf>
    <xf numFmtId="0" fontId="3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1" fontId="1" fillId="2" borderId="0" xfId="0" applyNumberFormat="1" applyFont="1" applyFill="1" applyAlignment="1">
      <alignment horizontal="left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left" indent="1"/>
    </xf>
    <xf numFmtId="0" fontId="3" fillId="2" borderId="5" xfId="0" applyFont="1" applyFill="1" applyBorder="1" applyAlignment="1">
      <alignment horizontal="left" indent="1"/>
    </xf>
    <xf numFmtId="0" fontId="3" fillId="2" borderId="6" xfId="0" applyFont="1" applyFill="1" applyBorder="1" applyAlignment="1">
      <alignment horizontal="left" indent="1"/>
    </xf>
    <xf numFmtId="1" fontId="1" fillId="2" borderId="10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left" vertical="center" wrapText="1"/>
    </xf>
    <xf numFmtId="0" fontId="1" fillId="2" borderId="6" xfId="0" applyNumberFormat="1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>
      <alignment horizontal="center" vertical="top" wrapText="1"/>
    </xf>
    <xf numFmtId="2" fontId="1" fillId="2" borderId="10" xfId="0" applyNumberFormat="1" applyFont="1" applyFill="1" applyBorder="1" applyAlignment="1">
      <alignment horizontal="center" vertical="top" wrapText="1"/>
    </xf>
    <xf numFmtId="164" fontId="1" fillId="2" borderId="10" xfId="0" applyNumberFormat="1" applyFont="1" applyFill="1" applyBorder="1" applyAlignment="1">
      <alignment horizontal="center" vertical="top" wrapText="1"/>
    </xf>
    <xf numFmtId="1" fontId="1" fillId="2" borderId="10" xfId="0" applyNumberFormat="1" applyFont="1" applyFill="1" applyBorder="1" applyAlignment="1">
      <alignment horizontal="center" vertical="top"/>
    </xf>
    <xf numFmtId="2" fontId="1" fillId="2" borderId="10" xfId="0" applyNumberFormat="1" applyFont="1" applyFill="1" applyBorder="1" applyAlignment="1">
      <alignment horizontal="center" vertical="top"/>
    </xf>
    <xf numFmtId="0" fontId="1" fillId="2" borderId="10" xfId="0" applyNumberFormat="1" applyFont="1" applyFill="1" applyBorder="1" applyAlignment="1">
      <alignment horizontal="center" vertical="top"/>
    </xf>
    <xf numFmtId="0" fontId="1" fillId="2" borderId="10" xfId="0" applyNumberFormat="1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top"/>
    </xf>
    <xf numFmtId="0" fontId="1" fillId="2" borderId="10" xfId="0" applyNumberFormat="1" applyFont="1" applyFill="1" applyBorder="1" applyAlignment="1">
      <alignment horizontal="left" vertical="center" wrapText="1"/>
    </xf>
    <xf numFmtId="1" fontId="1" fillId="4" borderId="11" xfId="1" applyNumberFormat="1" applyFont="1" applyFill="1" applyBorder="1" applyAlignment="1">
      <alignment horizontal="center" vertical="center"/>
    </xf>
    <xf numFmtId="2" fontId="1" fillId="4" borderId="11" xfId="1" applyNumberFormat="1" applyFont="1" applyFill="1" applyBorder="1" applyAlignment="1">
      <alignment horizontal="left" vertical="center" wrapText="1"/>
    </xf>
    <xf numFmtId="0" fontId="1" fillId="4" borderId="11" xfId="1" applyNumberFormat="1" applyFont="1" applyFill="1" applyBorder="1" applyAlignment="1">
      <alignment horizontal="center" vertical="top"/>
    </xf>
    <xf numFmtId="2" fontId="3" fillId="4" borderId="12" xfId="0" applyNumberFormat="1" applyFont="1" applyFill="1" applyBorder="1" applyAlignment="1"/>
    <xf numFmtId="2" fontId="1" fillId="4" borderId="11" xfId="1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/>
    <xf numFmtId="0" fontId="3" fillId="2" borderId="5" xfId="0" applyFont="1" applyFill="1" applyBorder="1" applyAlignment="1"/>
    <xf numFmtId="1" fontId="3" fillId="2" borderId="10" xfId="0" applyNumberFormat="1" applyFont="1" applyFill="1" applyBorder="1" applyAlignment="1"/>
    <xf numFmtId="2" fontId="3" fillId="2" borderId="10" xfId="0" applyNumberFormat="1" applyFont="1" applyFill="1" applyBorder="1" applyAlignment="1"/>
    <xf numFmtId="10" fontId="3" fillId="2" borderId="4" xfId="0" applyNumberFormat="1" applyFont="1" applyFill="1" applyBorder="1" applyAlignment="1">
      <alignment horizontal="left"/>
    </xf>
    <xf numFmtId="10" fontId="3" fillId="2" borderId="5" xfId="0" applyNumberFormat="1" applyFont="1" applyFill="1" applyBorder="1" applyAlignment="1">
      <alignment horizontal="left"/>
    </xf>
    <xf numFmtId="10" fontId="3" fillId="2" borderId="6" xfId="0" applyNumberFormat="1" applyFont="1" applyFill="1" applyBorder="1" applyAlignment="1">
      <alignment horizontal="left"/>
    </xf>
    <xf numFmtId="0" fontId="3" fillId="2" borderId="5" xfId="0" applyNumberFormat="1" applyFont="1" applyFill="1" applyBorder="1" applyAlignment="1">
      <alignment horizontal="left"/>
    </xf>
    <xf numFmtId="10" fontId="3" fillId="2" borderId="5" xfId="0" applyNumberFormat="1" applyFont="1" applyFill="1" applyBorder="1" applyAlignment="1">
      <alignment horizontal="center" vertical="top"/>
    </xf>
    <xf numFmtId="10" fontId="3" fillId="2" borderId="10" xfId="0" applyNumberFormat="1" applyFont="1" applyFill="1" applyBorder="1" applyAlignment="1">
      <alignment horizontal="center" vertical="top"/>
    </xf>
    <xf numFmtId="165" fontId="3" fillId="2" borderId="10" xfId="0" applyNumberFormat="1" applyFont="1" applyFill="1" applyBorder="1" applyAlignment="1">
      <alignment horizontal="center" vertical="top"/>
    </xf>
    <xf numFmtId="0" fontId="1" fillId="4" borderId="11" xfId="1" applyNumberFormat="1" applyFont="1" applyFill="1" applyBorder="1" applyAlignment="1">
      <alignment horizontal="left" vertical="center" wrapText="1"/>
    </xf>
    <xf numFmtId="1" fontId="1" fillId="4" borderId="11" xfId="1" applyNumberFormat="1" applyFont="1" applyFill="1" applyBorder="1" applyAlignment="1">
      <alignment horizontal="center" vertical="top"/>
    </xf>
    <xf numFmtId="2" fontId="1" fillId="4" borderId="11" xfId="1" applyNumberFormat="1" applyFont="1" applyFill="1" applyBorder="1" applyAlignment="1">
      <alignment horizontal="center" vertical="top"/>
    </xf>
    <xf numFmtId="2" fontId="1" fillId="2" borderId="10" xfId="0" applyNumberFormat="1" applyFont="1" applyFill="1" applyBorder="1" applyAlignment="1">
      <alignment horizontal="center" vertical="center"/>
    </xf>
    <xf numFmtId="166" fontId="1" fillId="2" borderId="10" xfId="0" applyNumberFormat="1" applyFont="1" applyFill="1" applyBorder="1" applyAlignment="1">
      <alignment horizontal="center" vertical="top"/>
    </xf>
    <xf numFmtId="2" fontId="3" fillId="2" borderId="10" xfId="0" applyNumberFormat="1" applyFont="1" applyFill="1" applyBorder="1" applyAlignment="1">
      <alignment horizontal="center" vertical="top"/>
    </xf>
    <xf numFmtId="166" fontId="3" fillId="2" borderId="10" xfId="0" applyNumberFormat="1" applyFont="1" applyFill="1" applyBorder="1" applyAlignment="1">
      <alignment horizontal="center" vertical="top"/>
    </xf>
    <xf numFmtId="1" fontId="3" fillId="2" borderId="10" xfId="0" applyNumberFormat="1" applyFont="1" applyFill="1" applyBorder="1" applyAlignment="1">
      <alignment horizontal="center" vertical="top"/>
    </xf>
    <xf numFmtId="164" fontId="3" fillId="2" borderId="10" xfId="0" applyNumberFormat="1" applyFont="1" applyFill="1" applyBorder="1" applyAlignment="1">
      <alignment horizontal="center" vertical="top"/>
    </xf>
    <xf numFmtId="1" fontId="1" fillId="4" borderId="11" xfId="0" applyNumberFormat="1" applyFont="1" applyFill="1" applyBorder="1" applyAlignment="1">
      <alignment horizontal="center" vertical="center"/>
    </xf>
    <xf numFmtId="0" fontId="1" fillId="4" borderId="11" xfId="0" applyNumberFormat="1" applyFont="1" applyFill="1" applyBorder="1" applyAlignment="1">
      <alignment horizontal="left" vertical="center" wrapText="1"/>
    </xf>
    <xf numFmtId="1" fontId="1" fillId="4" borderId="11" xfId="0" applyNumberFormat="1" applyFont="1" applyFill="1" applyBorder="1" applyAlignment="1">
      <alignment horizontal="center" vertical="top"/>
    </xf>
    <xf numFmtId="2" fontId="1" fillId="4" borderId="11" xfId="0" applyNumberFormat="1" applyFont="1" applyFill="1" applyBorder="1" applyAlignment="1">
      <alignment horizontal="center" vertical="top"/>
    </xf>
    <xf numFmtId="164" fontId="1" fillId="4" borderId="11" xfId="0" applyNumberFormat="1" applyFont="1" applyFill="1" applyBorder="1" applyAlignment="1">
      <alignment horizontal="center" vertical="top"/>
    </xf>
    <xf numFmtId="0" fontId="1" fillId="4" borderId="11" xfId="0" applyNumberFormat="1" applyFont="1" applyFill="1" applyBorder="1" applyAlignment="1">
      <alignment horizontal="center" vertical="top"/>
    </xf>
    <xf numFmtId="166" fontId="1" fillId="4" borderId="11" xfId="0" applyNumberFormat="1" applyFont="1" applyFill="1" applyBorder="1" applyAlignment="1">
      <alignment horizontal="center" vertical="top"/>
    </xf>
    <xf numFmtId="0" fontId="1" fillId="4" borderId="11" xfId="1" applyNumberFormat="1" applyFont="1" applyFill="1" applyBorder="1" applyAlignment="1">
      <alignment horizontal="center" vertical="center"/>
    </xf>
    <xf numFmtId="10" fontId="3" fillId="2" borderId="6" xfId="0" applyNumberFormat="1" applyFont="1" applyFill="1" applyBorder="1" applyAlignment="1">
      <alignment horizontal="left"/>
    </xf>
    <xf numFmtId="1" fontId="3" fillId="2" borderId="6" xfId="0" applyNumberFormat="1" applyFont="1" applyFill="1" applyBorder="1" applyAlignment="1"/>
    <xf numFmtId="2" fontId="3" fillId="2" borderId="6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9" fontId="3" fillId="2" borderId="10" xfId="0" applyNumberFormat="1" applyFont="1" applyFill="1" applyBorder="1" applyAlignment="1">
      <alignment horizontal="center" vertical="top"/>
    </xf>
    <xf numFmtId="0" fontId="3" fillId="2" borderId="0" xfId="0" applyNumberFormat="1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7"/>
  <sheetViews>
    <sheetView tabSelected="1" workbookViewId="0">
      <selection sqref="A1:T37"/>
    </sheetView>
  </sheetViews>
  <sheetFormatPr defaultRowHeight="15"/>
  <sheetData>
    <row r="1" spans="1:20">
      <c r="A1" s="1" t="s">
        <v>0</v>
      </c>
      <c r="B1" s="1"/>
      <c r="C1" s="1"/>
      <c r="D1" s="1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4" t="s">
        <v>1</v>
      </c>
      <c r="R1" s="4"/>
      <c r="S1" s="4"/>
      <c r="T1" s="4"/>
    </row>
    <row r="2" spans="1:20">
      <c r="A2" s="5"/>
      <c r="B2" s="5"/>
      <c r="C2" s="5"/>
      <c r="D2" s="5"/>
      <c r="E2" s="6"/>
      <c r="F2" s="7"/>
      <c r="G2" s="6"/>
      <c r="H2" s="6"/>
      <c r="I2" s="6"/>
      <c r="J2" s="6"/>
      <c r="K2" s="6"/>
      <c r="L2" s="2"/>
      <c r="M2" s="8"/>
      <c r="N2" s="8"/>
      <c r="O2" s="8"/>
      <c r="P2" s="8"/>
      <c r="Q2" s="8"/>
      <c r="R2" s="8"/>
      <c r="S2" s="8"/>
      <c r="T2" s="8"/>
    </row>
    <row r="3" spans="1:20">
      <c r="A3" s="5"/>
      <c r="B3" s="5"/>
      <c r="C3" s="5"/>
      <c r="D3" s="5"/>
      <c r="E3" s="6"/>
      <c r="F3" s="7"/>
      <c r="G3" s="6"/>
      <c r="H3" s="6"/>
      <c r="I3" s="6"/>
      <c r="J3" s="6"/>
      <c r="K3" s="6"/>
      <c r="L3" s="2"/>
      <c r="M3" s="9"/>
      <c r="N3" s="9"/>
      <c r="O3" s="9"/>
      <c r="P3" s="9"/>
      <c r="Q3" s="9"/>
      <c r="R3" s="9"/>
      <c r="S3" s="9"/>
      <c r="T3" s="9"/>
    </row>
    <row r="4" spans="1:20" ht="15.7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>
      <c r="A5" s="11" t="s">
        <v>3</v>
      </c>
      <c r="B5" s="12"/>
      <c r="C5" s="12"/>
      <c r="D5" s="2"/>
      <c r="E5" s="2"/>
      <c r="F5" s="7"/>
      <c r="G5" s="13" t="s">
        <v>4</v>
      </c>
      <c r="H5" s="13"/>
      <c r="I5" s="13"/>
      <c r="J5" s="6"/>
      <c r="K5" s="6"/>
      <c r="L5" s="14" t="s">
        <v>5</v>
      </c>
      <c r="M5" s="14"/>
      <c r="N5" s="15" t="s">
        <v>6</v>
      </c>
      <c r="O5" s="15"/>
      <c r="P5" s="15"/>
      <c r="Q5" s="15"/>
      <c r="R5" s="6"/>
      <c r="S5" s="6"/>
      <c r="T5" s="6"/>
    </row>
    <row r="6" spans="1:20">
      <c r="A6" s="12" t="s">
        <v>7</v>
      </c>
      <c r="B6" s="12"/>
      <c r="C6" s="12"/>
      <c r="D6" s="14" t="s">
        <v>8</v>
      </c>
      <c r="E6" s="14"/>
      <c r="F6" s="14"/>
      <c r="G6" s="16">
        <v>1</v>
      </c>
      <c r="H6" s="6"/>
      <c r="I6" s="2"/>
      <c r="J6" s="2"/>
      <c r="K6" s="2"/>
      <c r="L6" s="14" t="s">
        <v>9</v>
      </c>
      <c r="M6" s="14"/>
      <c r="N6" s="13" t="s">
        <v>10</v>
      </c>
      <c r="O6" s="13"/>
      <c r="P6" s="13"/>
      <c r="Q6" s="13"/>
      <c r="R6" s="13"/>
      <c r="S6" s="13"/>
      <c r="T6" s="13"/>
    </row>
    <row r="7" spans="1:20">
      <c r="A7" s="17" t="s">
        <v>11</v>
      </c>
      <c r="B7" s="18" t="s">
        <v>12</v>
      </c>
      <c r="C7" s="19"/>
      <c r="D7" s="17" t="s">
        <v>13</v>
      </c>
      <c r="E7" s="20"/>
      <c r="F7" s="21" t="s">
        <v>14</v>
      </c>
      <c r="G7" s="22"/>
      <c r="H7" s="23"/>
      <c r="I7" s="17" t="s">
        <v>15</v>
      </c>
      <c r="J7" s="21" t="s">
        <v>16</v>
      </c>
      <c r="K7" s="22"/>
      <c r="L7" s="22"/>
      <c r="M7" s="22"/>
      <c r="N7" s="23"/>
      <c r="O7" s="21" t="s">
        <v>17</v>
      </c>
      <c r="P7" s="22"/>
      <c r="Q7" s="22"/>
      <c r="R7" s="22"/>
      <c r="S7" s="22"/>
      <c r="T7" s="23"/>
    </row>
    <row r="8" spans="1:20">
      <c r="A8" s="24"/>
      <c r="B8" s="25"/>
      <c r="C8" s="26"/>
      <c r="D8" s="24"/>
      <c r="E8" s="27"/>
      <c r="F8" s="28" t="s">
        <v>18</v>
      </c>
      <c r="G8" s="29" t="s">
        <v>19</v>
      </c>
      <c r="H8" s="29" t="s">
        <v>20</v>
      </c>
      <c r="I8" s="24"/>
      <c r="J8" s="29" t="s">
        <v>21</v>
      </c>
      <c r="K8" s="29" t="s">
        <v>22</v>
      </c>
      <c r="L8" s="29" t="s">
        <v>23</v>
      </c>
      <c r="M8" s="29" t="s">
        <v>24</v>
      </c>
      <c r="N8" s="29" t="s">
        <v>25</v>
      </c>
      <c r="O8" s="29" t="s">
        <v>26</v>
      </c>
      <c r="P8" s="29" t="s">
        <v>27</v>
      </c>
      <c r="Q8" s="29" t="s">
        <v>28</v>
      </c>
      <c r="R8" s="29" t="s">
        <v>29</v>
      </c>
      <c r="S8" s="29" t="s">
        <v>30</v>
      </c>
      <c r="T8" s="29" t="s">
        <v>31</v>
      </c>
    </row>
    <row r="9" spans="1:20">
      <c r="A9" s="30">
        <v>1</v>
      </c>
      <c r="B9" s="31">
        <v>2</v>
      </c>
      <c r="C9" s="32"/>
      <c r="D9" s="33">
        <v>3</v>
      </c>
      <c r="E9" s="33"/>
      <c r="F9" s="34">
        <v>4</v>
      </c>
      <c r="G9" s="33">
        <v>5</v>
      </c>
      <c r="H9" s="33">
        <v>6</v>
      </c>
      <c r="I9" s="33">
        <v>7</v>
      </c>
      <c r="J9" s="33">
        <v>8</v>
      </c>
      <c r="K9" s="33">
        <v>9</v>
      </c>
      <c r="L9" s="33">
        <v>10</v>
      </c>
      <c r="M9" s="33">
        <v>11</v>
      </c>
      <c r="N9" s="33">
        <v>12</v>
      </c>
      <c r="O9" s="33">
        <v>13</v>
      </c>
      <c r="P9" s="33">
        <v>14</v>
      </c>
      <c r="Q9" s="33">
        <v>15</v>
      </c>
      <c r="R9" s="33">
        <v>16</v>
      </c>
      <c r="S9" s="33">
        <v>17</v>
      </c>
      <c r="T9" s="33">
        <v>18</v>
      </c>
    </row>
    <row r="10" spans="1:20">
      <c r="A10" s="35" t="s">
        <v>32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7"/>
    </row>
    <row r="11" spans="1:20">
      <c r="A11" s="38" t="s">
        <v>33</v>
      </c>
      <c r="B11" s="39" t="s">
        <v>34</v>
      </c>
      <c r="C11" s="40"/>
      <c r="D11" s="41">
        <v>60</v>
      </c>
      <c r="E11" s="41">
        <v>12.97</v>
      </c>
      <c r="F11" s="42">
        <v>0.56000000000000005</v>
      </c>
      <c r="G11" s="42">
        <v>0.05</v>
      </c>
      <c r="H11" s="42">
        <v>1.75</v>
      </c>
      <c r="I11" s="42">
        <v>9.69</v>
      </c>
      <c r="J11" s="43">
        <v>0.01</v>
      </c>
      <c r="K11" s="42">
        <v>0.01</v>
      </c>
      <c r="L11" s="42">
        <v>5.25</v>
      </c>
      <c r="M11" s="43">
        <v>0</v>
      </c>
      <c r="N11" s="41">
        <v>0.35</v>
      </c>
      <c r="O11" s="42">
        <v>5</v>
      </c>
      <c r="P11" s="42">
        <v>17.5</v>
      </c>
      <c r="Q11" s="43">
        <v>7.0000000000000007E-2</v>
      </c>
      <c r="R11" s="43">
        <v>0</v>
      </c>
      <c r="S11" s="42">
        <v>7.5</v>
      </c>
      <c r="T11" s="42">
        <v>0.4</v>
      </c>
    </row>
    <row r="12" spans="1:20">
      <c r="A12" s="30">
        <v>291</v>
      </c>
      <c r="B12" s="39" t="s">
        <v>35</v>
      </c>
      <c r="C12" s="40"/>
      <c r="D12" s="44">
        <v>220</v>
      </c>
      <c r="E12" s="45">
        <v>50.45</v>
      </c>
      <c r="F12" s="45">
        <v>20.492999999999999</v>
      </c>
      <c r="G12" s="45">
        <v>23.95</v>
      </c>
      <c r="H12" s="45">
        <v>43.295999999999999</v>
      </c>
      <c r="I12" s="45">
        <v>470.77</v>
      </c>
      <c r="J12" s="45">
        <v>0.748</v>
      </c>
      <c r="K12" s="45">
        <v>0.72599999999999998</v>
      </c>
      <c r="L12" s="45">
        <v>3.93</v>
      </c>
      <c r="M12" s="45">
        <v>0.42</v>
      </c>
      <c r="N12" s="46">
        <v>0</v>
      </c>
      <c r="O12" s="45">
        <v>40.600999999999999</v>
      </c>
      <c r="P12" s="45">
        <v>276.51</v>
      </c>
      <c r="Q12" s="44">
        <v>0</v>
      </c>
      <c r="R12" s="44">
        <v>0</v>
      </c>
      <c r="S12" s="45">
        <v>59.026000000000003</v>
      </c>
      <c r="T12" s="45">
        <v>2.5409999999999999</v>
      </c>
    </row>
    <row r="13" spans="1:20">
      <c r="A13" s="47">
        <v>41</v>
      </c>
      <c r="B13" s="39" t="s">
        <v>36</v>
      </c>
      <c r="C13" s="40"/>
      <c r="D13" s="44">
        <v>5</v>
      </c>
      <c r="E13" s="45">
        <v>7.5</v>
      </c>
      <c r="F13" s="45">
        <v>0</v>
      </c>
      <c r="G13" s="48">
        <v>4.0999999999999996</v>
      </c>
      <c r="H13" s="48">
        <v>0.05</v>
      </c>
      <c r="I13" s="48">
        <v>37.5</v>
      </c>
      <c r="J13" s="48">
        <v>0</v>
      </c>
      <c r="K13" s="48">
        <f>0.01*D13/30</f>
        <v>1.6666666666666668E-3</v>
      </c>
      <c r="L13" s="48">
        <v>0</v>
      </c>
      <c r="M13" s="48">
        <v>29.5</v>
      </c>
      <c r="N13" s="48">
        <v>0</v>
      </c>
      <c r="O13" s="48">
        <v>0.5</v>
      </c>
      <c r="P13" s="48">
        <v>1</v>
      </c>
      <c r="Q13" s="48">
        <f>0.008*D13/30</f>
        <v>1.3333333333333333E-3</v>
      </c>
      <c r="R13" s="48">
        <f>0.001*D13/30</f>
        <v>1.6666666666666666E-4</v>
      </c>
      <c r="S13" s="48">
        <v>0</v>
      </c>
      <c r="T13" s="48">
        <v>0</v>
      </c>
    </row>
    <row r="14" spans="1:20">
      <c r="A14" s="47" t="s">
        <v>33</v>
      </c>
      <c r="B14" s="39" t="s">
        <v>37</v>
      </c>
      <c r="C14" s="40"/>
      <c r="D14" s="44">
        <v>30</v>
      </c>
      <c r="E14" s="45">
        <v>2.85</v>
      </c>
      <c r="F14" s="45">
        <f>1.52*D14/30</f>
        <v>1.52</v>
      </c>
      <c r="G14" s="48">
        <f>0.16*D14/30</f>
        <v>0.16</v>
      </c>
      <c r="H14" s="48">
        <f>9.84*D14/30</f>
        <v>9.84</v>
      </c>
      <c r="I14" s="48">
        <f>F14*4+G14*9+H14*4</f>
        <v>46.879999999999995</v>
      </c>
      <c r="J14" s="48">
        <f>0.02*D14/30</f>
        <v>0.02</v>
      </c>
      <c r="K14" s="48">
        <f>0.01*D14/30</f>
        <v>0.01</v>
      </c>
      <c r="L14" s="48">
        <f>0.44*D14/30</f>
        <v>0.44</v>
      </c>
      <c r="M14" s="48">
        <v>0</v>
      </c>
      <c r="N14" s="48">
        <f>0.7*D14/30</f>
        <v>0.7</v>
      </c>
      <c r="O14" s="48">
        <f>4*D14/30</f>
        <v>4</v>
      </c>
      <c r="P14" s="48">
        <f>13*D14/30</f>
        <v>13</v>
      </c>
      <c r="Q14" s="48">
        <f>0.008*D14/30</f>
        <v>8.0000000000000002E-3</v>
      </c>
      <c r="R14" s="48">
        <f>0.001*D14/30</f>
        <v>1E-3</v>
      </c>
      <c r="S14" s="48">
        <v>0</v>
      </c>
      <c r="T14" s="48">
        <f>0.22*D14/30</f>
        <v>0.22</v>
      </c>
    </row>
    <row r="15" spans="1:20">
      <c r="A15" s="30">
        <v>377</v>
      </c>
      <c r="B15" s="49" t="s">
        <v>38</v>
      </c>
      <c r="C15" s="49"/>
      <c r="D15" s="44">
        <v>200</v>
      </c>
      <c r="E15" s="45">
        <v>4.53</v>
      </c>
      <c r="F15" s="45">
        <v>0.26</v>
      </c>
      <c r="G15" s="45">
        <v>0.06</v>
      </c>
      <c r="H15" s="45">
        <v>15.22</v>
      </c>
      <c r="I15" s="45">
        <f>F15*4+G15*9+H15*4</f>
        <v>62.46</v>
      </c>
      <c r="J15" s="45">
        <v>0</v>
      </c>
      <c r="K15" s="45">
        <v>0.01</v>
      </c>
      <c r="L15" s="45">
        <v>2.9</v>
      </c>
      <c r="M15" s="46">
        <v>0</v>
      </c>
      <c r="N15" s="45">
        <v>0.06</v>
      </c>
      <c r="O15" s="45">
        <v>8.0500000000000007</v>
      </c>
      <c r="P15" s="45">
        <v>9.7799999999999994</v>
      </c>
      <c r="Q15" s="45">
        <v>1.7000000000000001E-2</v>
      </c>
      <c r="R15" s="48">
        <v>0</v>
      </c>
      <c r="S15" s="45">
        <v>5.24</v>
      </c>
      <c r="T15" s="45">
        <v>0.87</v>
      </c>
    </row>
    <row r="16" spans="1:20">
      <c r="A16" s="50" t="s">
        <v>33</v>
      </c>
      <c r="B16" s="51" t="s">
        <v>39</v>
      </c>
      <c r="C16" s="51"/>
      <c r="D16" s="52">
        <v>200</v>
      </c>
      <c r="E16" s="53"/>
      <c r="F16" s="54">
        <v>5.6</v>
      </c>
      <c r="G16" s="54">
        <v>6.4</v>
      </c>
      <c r="H16" s="54">
        <v>9.4</v>
      </c>
      <c r="I16" s="54">
        <v>117.6</v>
      </c>
      <c r="J16" s="54">
        <v>0.08</v>
      </c>
      <c r="K16" s="54">
        <v>0.307</v>
      </c>
      <c r="L16" s="54">
        <v>2.6</v>
      </c>
      <c r="M16" s="54">
        <v>6.7000000000000004E-2</v>
      </c>
      <c r="N16" s="54">
        <v>0.29199999999999998</v>
      </c>
      <c r="O16" s="54">
        <v>240</v>
      </c>
      <c r="P16" s="54">
        <v>180</v>
      </c>
      <c r="Q16" s="54">
        <v>0.8</v>
      </c>
      <c r="R16" s="54">
        <v>1.7999999999999999E-2</v>
      </c>
      <c r="S16" s="54">
        <v>28</v>
      </c>
      <c r="T16" s="54">
        <v>0.12</v>
      </c>
    </row>
    <row r="17" spans="1:20">
      <c r="A17" s="55" t="s">
        <v>40</v>
      </c>
      <c r="B17" s="56"/>
      <c r="C17" s="56"/>
      <c r="D17" s="57">
        <f t="shared" ref="D17:T17" si="0">SUM(D11:D16)</f>
        <v>715</v>
      </c>
      <c r="E17" s="58">
        <f t="shared" si="0"/>
        <v>78.3</v>
      </c>
      <c r="F17" s="58">
        <f t="shared" si="0"/>
        <v>28.433</v>
      </c>
      <c r="G17" s="58">
        <f t="shared" si="0"/>
        <v>34.72</v>
      </c>
      <c r="H17" s="58">
        <f t="shared" si="0"/>
        <v>79.555999999999997</v>
      </c>
      <c r="I17" s="58">
        <f t="shared" si="0"/>
        <v>744.90000000000009</v>
      </c>
      <c r="J17" s="58">
        <f t="shared" si="0"/>
        <v>0.85799999999999998</v>
      </c>
      <c r="K17" s="58">
        <f t="shared" si="0"/>
        <v>1.0646666666666667</v>
      </c>
      <c r="L17" s="58">
        <f t="shared" si="0"/>
        <v>15.12</v>
      </c>
      <c r="M17" s="58">
        <f t="shared" si="0"/>
        <v>29.987000000000002</v>
      </c>
      <c r="N17" s="58">
        <f t="shared" si="0"/>
        <v>1.4019999999999999</v>
      </c>
      <c r="O17" s="58">
        <f t="shared" si="0"/>
        <v>298.15100000000001</v>
      </c>
      <c r="P17" s="58">
        <f t="shared" si="0"/>
        <v>497.78999999999996</v>
      </c>
      <c r="Q17" s="58">
        <f t="shared" si="0"/>
        <v>0.89633333333333343</v>
      </c>
      <c r="R17" s="58">
        <f t="shared" si="0"/>
        <v>1.9166666666666665E-2</v>
      </c>
      <c r="S17" s="58">
        <f t="shared" si="0"/>
        <v>99.766000000000005</v>
      </c>
      <c r="T17" s="58">
        <f t="shared" si="0"/>
        <v>4.1509999999999998</v>
      </c>
    </row>
    <row r="18" spans="1:20">
      <c r="A18" s="59" t="s">
        <v>41</v>
      </c>
      <c r="B18" s="60"/>
      <c r="C18" s="60"/>
      <c r="D18" s="61"/>
      <c r="E18" s="62">
        <f>78.3-E17</f>
        <v>0</v>
      </c>
      <c r="F18" s="63">
        <f t="shared" ref="F18:T18" si="1">F17/F35</f>
        <v>0.31592222222222222</v>
      </c>
      <c r="G18" s="64">
        <f t="shared" si="1"/>
        <v>0.37739130434782608</v>
      </c>
      <c r="H18" s="64">
        <f t="shared" si="1"/>
        <v>0.20771801566579634</v>
      </c>
      <c r="I18" s="64">
        <f t="shared" si="1"/>
        <v>0.27386029411764712</v>
      </c>
      <c r="J18" s="64">
        <f t="shared" si="1"/>
        <v>0.61285714285714288</v>
      </c>
      <c r="K18" s="64">
        <f t="shared" si="1"/>
        <v>0.66541666666666666</v>
      </c>
      <c r="L18" s="64">
        <f t="shared" si="1"/>
        <v>0.216</v>
      </c>
      <c r="M18" s="64">
        <f t="shared" si="1"/>
        <v>33.318888888888893</v>
      </c>
      <c r="N18" s="64">
        <f t="shared" si="1"/>
        <v>0.11683333333333333</v>
      </c>
      <c r="O18" s="65">
        <f t="shared" si="1"/>
        <v>0.24845916666666668</v>
      </c>
      <c r="P18" s="64">
        <f t="shared" si="1"/>
        <v>0.41482499999999994</v>
      </c>
      <c r="Q18" s="64">
        <f t="shared" si="1"/>
        <v>6.4023809523809525E-2</v>
      </c>
      <c r="R18" s="64">
        <f t="shared" si="1"/>
        <v>0.19166666666666665</v>
      </c>
      <c r="S18" s="64">
        <f t="shared" si="1"/>
        <v>0.33255333333333337</v>
      </c>
      <c r="T18" s="65">
        <f t="shared" si="1"/>
        <v>0.2306111111111111</v>
      </c>
    </row>
    <row r="19" spans="1:20">
      <c r="A19" s="35" t="s">
        <v>42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7"/>
    </row>
    <row r="20" spans="1:20">
      <c r="A20" s="38">
        <v>49</v>
      </c>
      <c r="B20" s="39" t="s">
        <v>43</v>
      </c>
      <c r="C20" s="40"/>
      <c r="D20" s="41">
        <v>100</v>
      </c>
      <c r="E20" s="42">
        <v>14.11</v>
      </c>
      <c r="F20" s="42">
        <v>1.5669999999999999</v>
      </c>
      <c r="G20" s="42">
        <v>12.03</v>
      </c>
      <c r="H20" s="42">
        <v>8.7799999999999994</v>
      </c>
      <c r="I20" s="42">
        <v>149.69999999999999</v>
      </c>
      <c r="J20" s="43">
        <v>0.05</v>
      </c>
      <c r="K20" s="42">
        <v>0.05</v>
      </c>
      <c r="L20" s="42">
        <v>20.667000000000002</v>
      </c>
      <c r="M20" s="43">
        <v>2E-3</v>
      </c>
      <c r="N20" s="41">
        <v>2.5</v>
      </c>
      <c r="O20" s="42">
        <v>32.83</v>
      </c>
      <c r="P20" s="42">
        <v>33.85</v>
      </c>
      <c r="Q20" s="43">
        <v>0.5</v>
      </c>
      <c r="R20" s="43">
        <v>2E-3</v>
      </c>
      <c r="S20" s="42">
        <v>16.63</v>
      </c>
      <c r="T20" s="42">
        <v>0.56000000000000005</v>
      </c>
    </row>
    <row r="21" spans="1:20">
      <c r="A21" s="30">
        <v>102</v>
      </c>
      <c r="B21" s="39" t="s">
        <v>44</v>
      </c>
      <c r="C21" s="40"/>
      <c r="D21" s="46">
        <v>250</v>
      </c>
      <c r="E21" s="45">
        <v>11.46</v>
      </c>
      <c r="F21" s="45">
        <v>6.22</v>
      </c>
      <c r="G21" s="45">
        <v>3.99</v>
      </c>
      <c r="H21" s="45">
        <v>21.73</v>
      </c>
      <c r="I21" s="45">
        <v>147.71</v>
      </c>
      <c r="J21" s="45">
        <v>0.27</v>
      </c>
      <c r="K21" s="45">
        <v>0.09</v>
      </c>
      <c r="L21" s="45">
        <v>9</v>
      </c>
      <c r="M21" s="48">
        <v>1E-3</v>
      </c>
      <c r="N21" s="45">
        <v>0.25700000000000001</v>
      </c>
      <c r="O21" s="45">
        <v>54.13</v>
      </c>
      <c r="P21" s="45">
        <v>183.2</v>
      </c>
      <c r="Q21" s="45">
        <v>1.157</v>
      </c>
      <c r="R21" s="48">
        <v>1.2999999999999999E-2</v>
      </c>
      <c r="S21" s="45">
        <v>49.63</v>
      </c>
      <c r="T21" s="45">
        <v>1.03</v>
      </c>
    </row>
    <row r="22" spans="1:20">
      <c r="A22" s="38">
        <v>261</v>
      </c>
      <c r="B22" s="39" t="s">
        <v>45</v>
      </c>
      <c r="C22" s="40"/>
      <c r="D22" s="41">
        <v>110</v>
      </c>
      <c r="E22" s="41">
        <v>44.11</v>
      </c>
      <c r="F22" s="42">
        <v>33.090000000000003</v>
      </c>
      <c r="G22" s="42">
        <v>27.34</v>
      </c>
      <c r="H22" s="42">
        <v>8.82</v>
      </c>
      <c r="I22" s="42">
        <v>414.37</v>
      </c>
      <c r="J22" s="43">
        <v>0.09</v>
      </c>
      <c r="K22" s="42">
        <v>0</v>
      </c>
      <c r="L22" s="42">
        <v>4.4999999999999998E-2</v>
      </c>
      <c r="M22" s="43">
        <v>80.62</v>
      </c>
      <c r="N22" s="43">
        <v>0</v>
      </c>
      <c r="O22" s="42">
        <v>102.19</v>
      </c>
      <c r="P22" s="42">
        <v>249.19</v>
      </c>
      <c r="Q22" s="43">
        <v>0</v>
      </c>
      <c r="R22" s="43">
        <v>0</v>
      </c>
      <c r="S22" s="42">
        <v>38.07</v>
      </c>
      <c r="T22" s="42">
        <v>3.04</v>
      </c>
    </row>
    <row r="23" spans="1:20">
      <c r="A23" s="47">
        <v>171</v>
      </c>
      <c r="B23" s="39" t="s">
        <v>46</v>
      </c>
      <c r="C23" s="40"/>
      <c r="D23" s="44">
        <v>180</v>
      </c>
      <c r="E23" s="45">
        <v>18.010000000000002</v>
      </c>
      <c r="F23" s="45">
        <f>6.57*D23/150</f>
        <v>7.8840000000000012</v>
      </c>
      <c r="G23" s="45">
        <f>4.19*D23/150</f>
        <v>5.0280000000000005</v>
      </c>
      <c r="H23" s="45">
        <f>32.32*D23/150</f>
        <v>38.783999999999999</v>
      </c>
      <c r="I23" s="45">
        <f>F23*4+G23*9+H23*4</f>
        <v>231.92400000000001</v>
      </c>
      <c r="J23" s="48">
        <f>0.06*D23/150</f>
        <v>7.1999999999999995E-2</v>
      </c>
      <c r="K23" s="48">
        <f>0.03*D23/150</f>
        <v>3.5999999999999997E-2</v>
      </c>
      <c r="L23" s="46">
        <v>0</v>
      </c>
      <c r="M23" s="48">
        <f>0.03*D23/150</f>
        <v>3.5999999999999997E-2</v>
      </c>
      <c r="N23" s="46">
        <f>2.55*D23/150</f>
        <v>3.0599999999999996</v>
      </c>
      <c r="O23" s="45">
        <f>18.12*D23/150</f>
        <v>21.744000000000003</v>
      </c>
      <c r="P23" s="45">
        <f>157.03*D23/150</f>
        <v>188.43600000000001</v>
      </c>
      <c r="Q23" s="48">
        <v>1.0680000000000001</v>
      </c>
      <c r="R23" s="48">
        <f>0.00135*D23/150</f>
        <v>1.6200000000000001E-3</v>
      </c>
      <c r="S23" s="45">
        <f>104.45*D23/150</f>
        <v>125.34</v>
      </c>
      <c r="T23" s="45">
        <f>3.55*D23/150</f>
        <v>4.26</v>
      </c>
    </row>
    <row r="24" spans="1:20">
      <c r="A24" s="50">
        <v>345</v>
      </c>
      <c r="B24" s="66" t="s">
        <v>47</v>
      </c>
      <c r="C24" s="66"/>
      <c r="D24" s="67">
        <v>200</v>
      </c>
      <c r="E24" s="68">
        <v>4.9000000000000004</v>
      </c>
      <c r="F24" s="68">
        <v>0.06</v>
      </c>
      <c r="G24" s="68">
        <v>0.02</v>
      </c>
      <c r="H24" s="68">
        <v>20.73</v>
      </c>
      <c r="I24" s="68">
        <v>83.34</v>
      </c>
      <c r="J24" s="68">
        <v>0</v>
      </c>
      <c r="K24" s="68">
        <v>0</v>
      </c>
      <c r="L24" s="68">
        <v>2.5</v>
      </c>
      <c r="M24" s="68">
        <v>4.0000000000000001E-3</v>
      </c>
      <c r="N24" s="68">
        <v>0.2</v>
      </c>
      <c r="O24" s="68">
        <v>4</v>
      </c>
      <c r="P24" s="68">
        <v>3.3</v>
      </c>
      <c r="Q24" s="68">
        <v>0.08</v>
      </c>
      <c r="R24" s="68">
        <v>1E-3</v>
      </c>
      <c r="S24" s="68">
        <v>1.7</v>
      </c>
      <c r="T24" s="68">
        <v>0.15</v>
      </c>
    </row>
    <row r="25" spans="1:20">
      <c r="A25" s="69" t="s">
        <v>33</v>
      </c>
      <c r="B25" s="39" t="s">
        <v>48</v>
      </c>
      <c r="C25" s="40"/>
      <c r="D25" s="44">
        <v>40</v>
      </c>
      <c r="E25" s="45">
        <v>2.56</v>
      </c>
      <c r="F25" s="45">
        <f>2.64*D25/40</f>
        <v>2.64</v>
      </c>
      <c r="G25" s="45">
        <f>0.48*D25/40</f>
        <v>0.48</v>
      </c>
      <c r="H25" s="45">
        <f>13.68*D25/40</f>
        <v>13.680000000000001</v>
      </c>
      <c r="I25" s="70">
        <f>F25*4+G25*9+H25*4</f>
        <v>69.600000000000009</v>
      </c>
      <c r="J25" s="46">
        <f>0.08*D25/40</f>
        <v>0.08</v>
      </c>
      <c r="K25" s="45">
        <f>0.04*D25/40</f>
        <v>0.04</v>
      </c>
      <c r="L25" s="44">
        <v>0</v>
      </c>
      <c r="M25" s="44">
        <v>0</v>
      </c>
      <c r="N25" s="45">
        <f>2.4*D25/40</f>
        <v>2.4</v>
      </c>
      <c r="O25" s="45">
        <f>14*D25/40</f>
        <v>14</v>
      </c>
      <c r="P25" s="45">
        <f>63.2*D25/40</f>
        <v>63.2</v>
      </c>
      <c r="Q25" s="45">
        <f>1.2*D25/40</f>
        <v>1.2</v>
      </c>
      <c r="R25" s="48">
        <f>0.001*D25/40</f>
        <v>1E-3</v>
      </c>
      <c r="S25" s="45">
        <f>9.4*D25/40</f>
        <v>9.4</v>
      </c>
      <c r="T25" s="46">
        <f>0.78*D25/40</f>
        <v>0.78</v>
      </c>
    </row>
    <row r="26" spans="1:20">
      <c r="A26" s="47" t="s">
        <v>33</v>
      </c>
      <c r="B26" s="39" t="s">
        <v>37</v>
      </c>
      <c r="C26" s="40"/>
      <c r="D26" s="44">
        <v>30</v>
      </c>
      <c r="E26" s="45">
        <v>2.85</v>
      </c>
      <c r="F26" s="45">
        <f>1.52*D26/30</f>
        <v>1.52</v>
      </c>
      <c r="G26" s="48">
        <f>0.16*D26/30</f>
        <v>0.16</v>
      </c>
      <c r="H26" s="48">
        <f>9.84*D26/30</f>
        <v>9.84</v>
      </c>
      <c r="I26" s="48">
        <f>F26*4+G26*9+H26*4</f>
        <v>46.879999999999995</v>
      </c>
      <c r="J26" s="48">
        <f>0.02*D26/30</f>
        <v>0.02</v>
      </c>
      <c r="K26" s="48">
        <f>0.01*D26/30</f>
        <v>0.01</v>
      </c>
      <c r="L26" s="48">
        <f>0.44*D26/30</f>
        <v>0.44</v>
      </c>
      <c r="M26" s="48">
        <v>0</v>
      </c>
      <c r="N26" s="48">
        <f>0.7*D26/30</f>
        <v>0.7</v>
      </c>
      <c r="O26" s="48">
        <f>4*D26/30</f>
        <v>4</v>
      </c>
      <c r="P26" s="48">
        <f>13*D26/30</f>
        <v>13</v>
      </c>
      <c r="Q26" s="48">
        <f>0.008*D26/30</f>
        <v>8.0000000000000002E-3</v>
      </c>
      <c r="R26" s="48">
        <f>0.001*D26/30</f>
        <v>1E-3</v>
      </c>
      <c r="S26" s="48">
        <v>0</v>
      </c>
      <c r="T26" s="48">
        <f>0.22*D26/30</f>
        <v>0.22</v>
      </c>
    </row>
    <row r="27" spans="1:20">
      <c r="A27" s="55" t="s">
        <v>49</v>
      </c>
      <c r="B27" s="56"/>
      <c r="C27" s="56"/>
      <c r="D27" s="57">
        <f t="shared" ref="D27:I27" si="2">SUM(D20:D26)</f>
        <v>910</v>
      </c>
      <c r="E27" s="58">
        <f t="shared" si="2"/>
        <v>98.000000000000014</v>
      </c>
      <c r="F27" s="71">
        <f t="shared" si="2"/>
        <v>52.981000000000009</v>
      </c>
      <c r="G27" s="72">
        <f t="shared" si="2"/>
        <v>49.047999999999995</v>
      </c>
      <c r="H27" s="73">
        <f t="shared" si="2"/>
        <v>122.36400000000002</v>
      </c>
      <c r="I27" s="72">
        <f t="shared" si="2"/>
        <v>1143.5239999999999</v>
      </c>
      <c r="J27" s="72">
        <f t="shared" ref="J27:T27" si="3">SUM(J20:J26)</f>
        <v>0.58200000000000007</v>
      </c>
      <c r="K27" s="72">
        <f t="shared" si="3"/>
        <v>0.22600000000000003</v>
      </c>
      <c r="L27" s="72">
        <f t="shared" si="3"/>
        <v>32.652000000000001</v>
      </c>
      <c r="M27" s="71">
        <f t="shared" si="3"/>
        <v>80.663000000000011</v>
      </c>
      <c r="N27" s="71">
        <f t="shared" si="3"/>
        <v>9.1169999999999991</v>
      </c>
      <c r="O27" s="73">
        <f t="shared" si="3"/>
        <v>232.89400000000001</v>
      </c>
      <c r="P27" s="72">
        <f t="shared" si="3"/>
        <v>734.17600000000004</v>
      </c>
      <c r="Q27" s="74">
        <f t="shared" si="3"/>
        <v>4.0129999999999999</v>
      </c>
      <c r="R27" s="74">
        <f t="shared" si="3"/>
        <v>1.9620000000000002E-2</v>
      </c>
      <c r="S27" s="72">
        <f t="shared" si="3"/>
        <v>240.77</v>
      </c>
      <c r="T27" s="71">
        <f t="shared" si="3"/>
        <v>10.040000000000001</v>
      </c>
    </row>
    <row r="28" spans="1:20">
      <c r="A28" s="59" t="s">
        <v>41</v>
      </c>
      <c r="B28" s="60"/>
      <c r="C28" s="60"/>
      <c r="D28" s="61"/>
      <c r="E28" s="62">
        <f>98-E27</f>
        <v>0</v>
      </c>
      <c r="F28" s="63">
        <f t="shared" ref="F28:T28" si="4">F27/F35</f>
        <v>0.58867777777777786</v>
      </c>
      <c r="G28" s="64">
        <f t="shared" si="4"/>
        <v>0.53313043478260869</v>
      </c>
      <c r="H28" s="64">
        <f t="shared" si="4"/>
        <v>0.31948825065274156</v>
      </c>
      <c r="I28" s="64">
        <f t="shared" si="4"/>
        <v>0.42041323529411762</v>
      </c>
      <c r="J28" s="64">
        <f t="shared" si="4"/>
        <v>0.41571428571428581</v>
      </c>
      <c r="K28" s="64">
        <f t="shared" si="4"/>
        <v>0.14125000000000001</v>
      </c>
      <c r="L28" s="64">
        <f t="shared" si="4"/>
        <v>0.46645714285714285</v>
      </c>
      <c r="M28" s="64">
        <f t="shared" si="4"/>
        <v>89.625555555555565</v>
      </c>
      <c r="N28" s="64">
        <f t="shared" si="4"/>
        <v>0.75974999999999993</v>
      </c>
      <c r="O28" s="65">
        <f t="shared" si="4"/>
        <v>0.19407833333333332</v>
      </c>
      <c r="P28" s="64">
        <f t="shared" si="4"/>
        <v>0.61181333333333332</v>
      </c>
      <c r="Q28" s="64">
        <f t="shared" si="4"/>
        <v>0.28664285714285714</v>
      </c>
      <c r="R28" s="64">
        <f t="shared" si="4"/>
        <v>0.19620000000000001</v>
      </c>
      <c r="S28" s="64">
        <f t="shared" si="4"/>
        <v>0.80256666666666665</v>
      </c>
      <c r="T28" s="65">
        <f t="shared" si="4"/>
        <v>0.55777777777777782</v>
      </c>
    </row>
    <row r="29" spans="1:20">
      <c r="A29" s="35" t="s">
        <v>50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7"/>
    </row>
    <row r="30" spans="1:20">
      <c r="A30" s="75"/>
      <c r="B30" s="76"/>
      <c r="C30" s="76"/>
      <c r="D30" s="77"/>
      <c r="E30" s="78"/>
      <c r="F30" s="78"/>
      <c r="G30" s="78"/>
      <c r="H30" s="78"/>
      <c r="I30" s="78"/>
      <c r="J30" s="79"/>
      <c r="K30" s="78"/>
      <c r="L30" s="78"/>
      <c r="M30" s="79"/>
      <c r="N30" s="80"/>
      <c r="O30" s="81"/>
      <c r="P30" s="78"/>
      <c r="Q30" s="78"/>
      <c r="R30" s="79"/>
      <c r="S30" s="78"/>
      <c r="T30" s="78"/>
    </row>
    <row r="31" spans="1:20">
      <c r="A31" s="82"/>
      <c r="B31" s="66"/>
      <c r="C31" s="66"/>
      <c r="D31" s="67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</row>
    <row r="32" spans="1:20">
      <c r="A32" s="55" t="s">
        <v>51</v>
      </c>
      <c r="B32" s="56"/>
      <c r="C32" s="56"/>
      <c r="D32" s="57">
        <f t="shared" ref="D32:T32" si="5">SUM(D30:D31)</f>
        <v>0</v>
      </c>
      <c r="E32" s="58"/>
      <c r="F32" s="58">
        <f t="shared" si="5"/>
        <v>0</v>
      </c>
      <c r="G32" s="58">
        <f t="shared" si="5"/>
        <v>0</v>
      </c>
      <c r="H32" s="58">
        <f t="shared" si="5"/>
        <v>0</v>
      </c>
      <c r="I32" s="58">
        <f t="shared" si="5"/>
        <v>0</v>
      </c>
      <c r="J32" s="58">
        <f t="shared" si="5"/>
        <v>0</v>
      </c>
      <c r="K32" s="58">
        <f t="shared" si="5"/>
        <v>0</v>
      </c>
      <c r="L32" s="58">
        <f t="shared" si="5"/>
        <v>0</v>
      </c>
      <c r="M32" s="58">
        <f t="shared" si="5"/>
        <v>0</v>
      </c>
      <c r="N32" s="58">
        <f t="shared" si="5"/>
        <v>0</v>
      </c>
      <c r="O32" s="58">
        <f t="shared" si="5"/>
        <v>0</v>
      </c>
      <c r="P32" s="58">
        <f t="shared" si="5"/>
        <v>0</v>
      </c>
      <c r="Q32" s="58">
        <f t="shared" si="5"/>
        <v>0</v>
      </c>
      <c r="R32" s="58">
        <f t="shared" si="5"/>
        <v>0</v>
      </c>
      <c r="S32" s="58">
        <f t="shared" si="5"/>
        <v>0</v>
      </c>
      <c r="T32" s="58">
        <f t="shared" si="5"/>
        <v>0</v>
      </c>
    </row>
    <row r="33" spans="1:20">
      <c r="A33" s="59" t="s">
        <v>41</v>
      </c>
      <c r="B33" s="60"/>
      <c r="C33" s="60"/>
      <c r="D33" s="61"/>
      <c r="E33" s="83"/>
      <c r="F33" s="64">
        <f>F32/F35</f>
        <v>0</v>
      </c>
      <c r="G33" s="64">
        <f t="shared" ref="G33:T33" si="6">G32/G35</f>
        <v>0</v>
      </c>
      <c r="H33" s="64">
        <f t="shared" si="6"/>
        <v>0</v>
      </c>
      <c r="I33" s="64">
        <f t="shared" si="6"/>
        <v>0</v>
      </c>
      <c r="J33" s="64">
        <f t="shared" si="6"/>
        <v>0</v>
      </c>
      <c r="K33" s="64">
        <f t="shared" si="6"/>
        <v>0</v>
      </c>
      <c r="L33" s="64">
        <f t="shared" si="6"/>
        <v>0</v>
      </c>
      <c r="M33" s="64">
        <f t="shared" si="6"/>
        <v>0</v>
      </c>
      <c r="N33" s="64">
        <f t="shared" si="6"/>
        <v>0</v>
      </c>
      <c r="O33" s="64">
        <f t="shared" si="6"/>
        <v>0</v>
      </c>
      <c r="P33" s="64">
        <f t="shared" si="6"/>
        <v>0</v>
      </c>
      <c r="Q33" s="64">
        <f t="shared" si="6"/>
        <v>0</v>
      </c>
      <c r="R33" s="64">
        <f t="shared" si="6"/>
        <v>0</v>
      </c>
      <c r="S33" s="64">
        <f t="shared" si="6"/>
        <v>0</v>
      </c>
      <c r="T33" s="65">
        <f t="shared" si="6"/>
        <v>0</v>
      </c>
    </row>
    <row r="34" spans="1:20">
      <c r="A34" s="55" t="s">
        <v>52</v>
      </c>
      <c r="B34" s="56"/>
      <c r="C34" s="56"/>
      <c r="D34" s="84">
        <f>D27+D17</f>
        <v>1625</v>
      </c>
      <c r="E34" s="85">
        <f>E27+E17</f>
        <v>176.3</v>
      </c>
      <c r="F34" s="71">
        <f t="shared" ref="F34:T34" si="7">SUM(F17,F27,F32)</f>
        <v>81.414000000000016</v>
      </c>
      <c r="G34" s="71">
        <f t="shared" si="7"/>
        <v>83.768000000000001</v>
      </c>
      <c r="H34" s="71">
        <f t="shared" si="7"/>
        <v>201.92000000000002</v>
      </c>
      <c r="I34" s="71">
        <f t="shared" si="7"/>
        <v>1888.424</v>
      </c>
      <c r="J34" s="71">
        <f t="shared" si="7"/>
        <v>1.44</v>
      </c>
      <c r="K34" s="71">
        <f t="shared" si="7"/>
        <v>1.2906666666666666</v>
      </c>
      <c r="L34" s="71">
        <f t="shared" si="7"/>
        <v>47.771999999999998</v>
      </c>
      <c r="M34" s="71">
        <f t="shared" si="7"/>
        <v>110.65</v>
      </c>
      <c r="N34" s="71">
        <f t="shared" si="7"/>
        <v>10.518999999999998</v>
      </c>
      <c r="O34" s="71">
        <f t="shared" si="7"/>
        <v>531.04500000000007</v>
      </c>
      <c r="P34" s="71">
        <f t="shared" si="7"/>
        <v>1231.9659999999999</v>
      </c>
      <c r="Q34" s="71">
        <f t="shared" si="7"/>
        <v>4.9093333333333335</v>
      </c>
      <c r="R34" s="71">
        <f t="shared" si="7"/>
        <v>3.8786666666666664E-2</v>
      </c>
      <c r="S34" s="71">
        <f t="shared" si="7"/>
        <v>340.536</v>
      </c>
      <c r="T34" s="71">
        <f t="shared" si="7"/>
        <v>14.191000000000001</v>
      </c>
    </row>
    <row r="35" spans="1:20">
      <c r="A35" s="86" t="s">
        <v>53</v>
      </c>
      <c r="B35" s="87"/>
      <c r="C35" s="87"/>
      <c r="D35" s="88"/>
      <c r="E35" s="89"/>
      <c r="F35" s="45">
        <v>90</v>
      </c>
      <c r="G35" s="70">
        <v>92</v>
      </c>
      <c r="H35" s="70">
        <v>383</v>
      </c>
      <c r="I35" s="70">
        <v>2720</v>
      </c>
      <c r="J35" s="45">
        <v>1.4</v>
      </c>
      <c r="K35" s="45">
        <v>1.6</v>
      </c>
      <c r="L35" s="44">
        <v>70</v>
      </c>
      <c r="M35" s="45">
        <v>0.9</v>
      </c>
      <c r="N35" s="44">
        <v>12</v>
      </c>
      <c r="O35" s="44">
        <v>1200</v>
      </c>
      <c r="P35" s="44">
        <v>1200</v>
      </c>
      <c r="Q35" s="44">
        <v>14</v>
      </c>
      <c r="R35" s="70">
        <v>0.1</v>
      </c>
      <c r="S35" s="44">
        <v>300</v>
      </c>
      <c r="T35" s="45">
        <v>18</v>
      </c>
    </row>
    <row r="36" spans="1:20">
      <c r="A36" s="59" t="s">
        <v>41</v>
      </c>
      <c r="B36" s="60"/>
      <c r="C36" s="60"/>
      <c r="D36" s="61"/>
      <c r="E36" s="83"/>
      <c r="F36" s="64">
        <f t="shared" ref="F36:T36" si="8">F34/F35</f>
        <v>0.90460000000000018</v>
      </c>
      <c r="G36" s="65">
        <f t="shared" si="8"/>
        <v>0.91052173913043477</v>
      </c>
      <c r="H36" s="65">
        <f t="shared" si="8"/>
        <v>0.52720626631853795</v>
      </c>
      <c r="I36" s="65">
        <f t="shared" si="8"/>
        <v>0.69427352941176468</v>
      </c>
      <c r="J36" s="65">
        <f t="shared" si="8"/>
        <v>1.0285714285714287</v>
      </c>
      <c r="K36" s="65">
        <f t="shared" si="8"/>
        <v>0.80666666666666664</v>
      </c>
      <c r="L36" s="65">
        <f t="shared" si="8"/>
        <v>0.68245714285714287</v>
      </c>
      <c r="M36" s="90">
        <f t="shared" si="8"/>
        <v>122.94444444444444</v>
      </c>
      <c r="N36" s="90">
        <f t="shared" si="8"/>
        <v>0.87658333333333316</v>
      </c>
      <c r="O36" s="65">
        <f t="shared" si="8"/>
        <v>0.44253750000000008</v>
      </c>
      <c r="P36" s="65">
        <f t="shared" si="8"/>
        <v>1.0266383333333333</v>
      </c>
      <c r="Q36" s="65">
        <f t="shared" si="8"/>
        <v>0.35066666666666668</v>
      </c>
      <c r="R36" s="90">
        <f t="shared" si="8"/>
        <v>0.38786666666666664</v>
      </c>
      <c r="S36" s="65">
        <f t="shared" si="8"/>
        <v>1.1351199999999999</v>
      </c>
      <c r="T36" s="90">
        <f t="shared" si="8"/>
        <v>0.78838888888888892</v>
      </c>
    </row>
    <row r="37" spans="1:20">
      <c r="A37" s="12"/>
      <c r="B37" s="12"/>
      <c r="C37" s="91"/>
      <c r="D37" s="91"/>
      <c r="E37" s="91"/>
      <c r="F37" s="3"/>
      <c r="G37" s="6"/>
      <c r="H37" s="2"/>
      <c r="I37" s="2"/>
      <c r="J37" s="6"/>
      <c r="K37" s="6"/>
      <c r="L37" s="6"/>
      <c r="M37" s="8" t="s">
        <v>54</v>
      </c>
      <c r="N37" s="8"/>
      <c r="O37" s="8"/>
      <c r="P37" s="8"/>
      <c r="Q37" s="8"/>
      <c r="R37" s="8"/>
      <c r="S37" s="8"/>
      <c r="T37" s="8"/>
    </row>
  </sheetData>
  <mergeCells count="42">
    <mergeCell ref="M37:T37"/>
    <mergeCell ref="A29:T29"/>
    <mergeCell ref="B30:C30"/>
    <mergeCell ref="B31:C31"/>
    <mergeCell ref="A33:D33"/>
    <mergeCell ref="A35:D35"/>
    <mergeCell ref="A36:D36"/>
    <mergeCell ref="B22:C22"/>
    <mergeCell ref="B23:C23"/>
    <mergeCell ref="B24:C24"/>
    <mergeCell ref="B25:C25"/>
    <mergeCell ref="B26:C26"/>
    <mergeCell ref="A28:D28"/>
    <mergeCell ref="B15:C15"/>
    <mergeCell ref="B16:C16"/>
    <mergeCell ref="A18:D18"/>
    <mergeCell ref="A19:T19"/>
    <mergeCell ref="B20:C20"/>
    <mergeCell ref="B21:C21"/>
    <mergeCell ref="B9:C9"/>
    <mergeCell ref="A10:T10"/>
    <mergeCell ref="B11:C11"/>
    <mergeCell ref="B12:C12"/>
    <mergeCell ref="B13:C13"/>
    <mergeCell ref="B14:C14"/>
    <mergeCell ref="D6:F6"/>
    <mergeCell ref="L6:M6"/>
    <mergeCell ref="N6:T6"/>
    <mergeCell ref="A7:A8"/>
    <mergeCell ref="B7:C8"/>
    <mergeCell ref="D7:D8"/>
    <mergeCell ref="F7:H7"/>
    <mergeCell ref="I7:I8"/>
    <mergeCell ref="J7:N7"/>
    <mergeCell ref="O7:T7"/>
    <mergeCell ref="A1:D3"/>
    <mergeCell ref="Q1:T1"/>
    <mergeCell ref="M2:T2"/>
    <mergeCell ref="A4:T4"/>
    <mergeCell ref="G5:I5"/>
    <mergeCell ref="L5:M5"/>
    <mergeCell ref="N5:Q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2025-01-28T12:00:40Z</dcterms:modified>
</cp:coreProperties>
</file>