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0115" windowHeight="7485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S31" i="1"/>
  <c r="O31"/>
  <c r="K31"/>
  <c r="G31"/>
  <c r="T30"/>
  <c r="T31" s="1"/>
  <c r="S30"/>
  <c r="R30"/>
  <c r="R31" s="1"/>
  <c r="Q30"/>
  <c r="Q31" s="1"/>
  <c r="P30"/>
  <c r="P31" s="1"/>
  <c r="O30"/>
  <c r="N30"/>
  <c r="N31" s="1"/>
  <c r="M30"/>
  <c r="M31" s="1"/>
  <c r="L30"/>
  <c r="L31" s="1"/>
  <c r="K30"/>
  <c r="J30"/>
  <c r="J31" s="1"/>
  <c r="I30"/>
  <c r="I31" s="1"/>
  <c r="H30"/>
  <c r="H31" s="1"/>
  <c r="G30"/>
  <c r="F30"/>
  <c r="F31" s="1"/>
  <c r="E30"/>
  <c r="E25"/>
  <c r="E32" s="1"/>
  <c r="D25"/>
  <c r="T24"/>
  <c r="R24"/>
  <c r="Q24"/>
  <c r="P24"/>
  <c r="O24"/>
  <c r="N24"/>
  <c r="L24"/>
  <c r="K24"/>
  <c r="J24"/>
  <c r="T23"/>
  <c r="R23"/>
  <c r="Q23"/>
  <c r="P23"/>
  <c r="O23"/>
  <c r="N23"/>
  <c r="L23"/>
  <c r="K23"/>
  <c r="J23"/>
  <c r="I23"/>
  <c r="H23"/>
  <c r="G23"/>
  <c r="F23"/>
  <c r="T22"/>
  <c r="S22"/>
  <c r="R22"/>
  <c r="Q22"/>
  <c r="P22"/>
  <c r="O22"/>
  <c r="N22"/>
  <c r="K22"/>
  <c r="J22"/>
  <c r="H22"/>
  <c r="G22"/>
  <c r="F22"/>
  <c r="I22" s="1"/>
  <c r="T20"/>
  <c r="S20"/>
  <c r="R20"/>
  <c r="Q20"/>
  <c r="Q25" s="1"/>
  <c r="Q26" s="1"/>
  <c r="P20"/>
  <c r="O20"/>
  <c r="N20"/>
  <c r="M20"/>
  <c r="M25" s="1"/>
  <c r="M26" s="1"/>
  <c r="K20"/>
  <c r="J20"/>
  <c r="H20"/>
  <c r="G20"/>
  <c r="F20"/>
  <c r="I20" s="1"/>
  <c r="I18"/>
  <c r="T17"/>
  <c r="T25" s="1"/>
  <c r="T26" s="1"/>
  <c r="S17"/>
  <c r="S25" s="1"/>
  <c r="S26" s="1"/>
  <c r="R17"/>
  <c r="R25" s="1"/>
  <c r="R26" s="1"/>
  <c r="Q17"/>
  <c r="P17"/>
  <c r="P25" s="1"/>
  <c r="P26" s="1"/>
  <c r="O17"/>
  <c r="O25" s="1"/>
  <c r="O26" s="1"/>
  <c r="N17"/>
  <c r="N25" s="1"/>
  <c r="N26" s="1"/>
  <c r="M17"/>
  <c r="L17"/>
  <c r="L25" s="1"/>
  <c r="L26" s="1"/>
  <c r="K17"/>
  <c r="K25" s="1"/>
  <c r="K26" s="1"/>
  <c r="J17"/>
  <c r="J25" s="1"/>
  <c r="J26" s="1"/>
  <c r="H17"/>
  <c r="H25" s="1"/>
  <c r="H26" s="1"/>
  <c r="G17"/>
  <c r="G25" s="1"/>
  <c r="G26" s="1"/>
  <c r="F17"/>
  <c r="F25" s="1"/>
  <c r="F26" s="1"/>
  <c r="S15"/>
  <c r="S14"/>
  <c r="S32" s="1"/>
  <c r="S34" s="1"/>
  <c r="R14"/>
  <c r="R15" s="1"/>
  <c r="Q14"/>
  <c r="Q15" s="1"/>
  <c r="N14"/>
  <c r="N15" s="1"/>
  <c r="M14"/>
  <c r="M32" s="1"/>
  <c r="M34" s="1"/>
  <c r="L14"/>
  <c r="L32" s="1"/>
  <c r="L34" s="1"/>
  <c r="J14"/>
  <c r="J15" s="1"/>
  <c r="H14"/>
  <c r="F14"/>
  <c r="F15" s="1"/>
  <c r="E14"/>
  <c r="D14"/>
  <c r="D32" s="1"/>
  <c r="A14"/>
  <c r="I12"/>
  <c r="T11"/>
  <c r="T14" s="1"/>
  <c r="R11"/>
  <c r="Q11"/>
  <c r="P11"/>
  <c r="P14" s="1"/>
  <c r="O11"/>
  <c r="O14" s="1"/>
  <c r="N11"/>
  <c r="L11"/>
  <c r="K11"/>
  <c r="J11"/>
  <c r="H11"/>
  <c r="G11"/>
  <c r="G14" s="1"/>
  <c r="F11"/>
  <c r="I11" s="1"/>
  <c r="I14" s="1"/>
  <c r="R10"/>
  <c r="Q10"/>
  <c r="K10"/>
  <c r="K14" s="1"/>
  <c r="N3"/>
  <c r="N2"/>
  <c r="P32" l="1"/>
  <c r="P34" s="1"/>
  <c r="P15"/>
  <c r="O32"/>
  <c r="O34" s="1"/>
  <c r="O15"/>
  <c r="T32"/>
  <c r="T34" s="1"/>
  <c r="T15"/>
  <c r="K32"/>
  <c r="K34" s="1"/>
  <c r="K15"/>
  <c r="G15"/>
  <c r="G32"/>
  <c r="G34" s="1"/>
  <c r="H32"/>
  <c r="H34" s="1"/>
  <c r="I15"/>
  <c r="F32"/>
  <c r="F34" s="1"/>
  <c r="N32"/>
  <c r="N34" s="1"/>
  <c r="M15"/>
  <c r="H15"/>
  <c r="L15"/>
  <c r="I17"/>
  <c r="I25" s="1"/>
  <c r="I26" s="1"/>
  <c r="J32"/>
  <c r="J34" s="1"/>
  <c r="R32"/>
  <c r="R34" s="1"/>
  <c r="Q32"/>
  <c r="Q34" s="1"/>
  <c r="I32" l="1"/>
  <c r="I34" s="1"/>
</calcChain>
</file>

<file path=xl/sharedStrings.xml><?xml version="1.0" encoding="utf-8"?>
<sst xmlns="http://schemas.openxmlformats.org/spreadsheetml/2006/main" count="60" uniqueCount="51">
  <si>
    <t>Примерное меню и пищевая ценность приготовляемых блюд (лист 6)</t>
  </si>
  <si>
    <t xml:space="preserve">Рацион: Школа </t>
  </si>
  <si>
    <t>понедельник</t>
  </si>
  <si>
    <t>Сезон:</t>
  </si>
  <si>
    <t>Неделя:</t>
  </si>
  <si>
    <t>Возраст: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</si>
  <si>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</si>
  <si>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</si>
  <si>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</si>
  <si>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</si>
  <si>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</si>
  <si>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</si>
  <si>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</si>
  <si>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</si>
  <si>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</si>
  <si>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</si>
  <si>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</si>
  <si>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В2</t>
  </si>
  <si>
    <t>C</t>
  </si>
  <si>
    <t>A</t>
  </si>
  <si>
    <t>E</t>
  </si>
  <si>
    <t>Ca</t>
  </si>
  <si>
    <t>P</t>
  </si>
  <si>
    <t>ZN</t>
  </si>
  <si>
    <t xml:space="preserve">I </t>
  </si>
  <si>
    <t>Mg</t>
  </si>
  <si>
    <t>Fe</t>
  </si>
  <si>
    <t xml:space="preserve">Завтрак </t>
  </si>
  <si>
    <t>ПР</t>
  </si>
  <si>
    <t>Подгарнировка:Помидор соленый</t>
  </si>
  <si>
    <t>Плов  с  птицей</t>
  </si>
  <si>
    <t>Масло сливочное порционно</t>
  </si>
  <si>
    <t>Хлеб пшеничный</t>
  </si>
  <si>
    <t>Чай с лимоном</t>
  </si>
  <si>
    <t>Молоко ''Авишка''</t>
  </si>
  <si>
    <t>% от суточной нормы</t>
  </si>
  <si>
    <t>Обед (полноценный рацион питания)</t>
  </si>
  <si>
    <t>* 56</t>
  </si>
  <si>
    <t>Салат из свежей капусты   "Молодость"</t>
  </si>
  <si>
    <t>Борщ со свежей капустой на м/б</t>
  </si>
  <si>
    <t>Тефтели "Детские" с соусом 80/50</t>
  </si>
  <si>
    <t>Каша гречневая  рассыпчатая с маслом</t>
  </si>
  <si>
    <t>Компот из быстрозамороженных ягод  (компотная смесь)</t>
  </si>
  <si>
    <t>Хлеб ржано-пшеничный</t>
  </si>
  <si>
    <t>Кондитерское изделие</t>
  </si>
  <si>
    <t>Итого за Обед (полноценный рацион питания)</t>
  </si>
  <si>
    <t>Полдник</t>
  </si>
  <si>
    <t>Итого за Полдник</t>
  </si>
  <si>
    <t>Итого в день</t>
  </si>
  <si>
    <t>суточная норма</t>
  </si>
  <si>
    <t>Приложение 8 к СанПиН 2.3/2.4.3590-20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</si>
</sst>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%"/>
    <numFmt numFmtId="166" formatCode="0.0"/>
    <numFmt numFmtId="167" formatCode="0.0000"/>
  </numFmts>
  <fonts count="4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u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89">
    <xf numFmtId="0" fontId="0" fillId="0" borderId="0" xfId="0"/>
    <xf numFmtId="0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/>
    </xf>
    <xf numFmtId="2" fontId="2" fillId="2" borderId="0" xfId="0" applyNumberFormat="1" applyFont="1" applyFill="1"/>
    <xf numFmtId="0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1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1" fillId="2" borderId="1" xfId="0" applyNumberFormat="1" applyFont="1" applyFill="1" applyBorder="1" applyAlignment="1">
      <alignment horizontal="right"/>
    </xf>
    <xf numFmtId="1" fontId="2" fillId="2" borderId="0" xfId="0" applyNumberFormat="1" applyFont="1" applyFill="1" applyAlignment="1">
      <alignment horizontal="left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2" fontId="2" fillId="2" borderId="11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1" fontId="2" fillId="2" borderId="11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1" fontId="2" fillId="2" borderId="11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left" indent="1"/>
    </xf>
    <xf numFmtId="0" fontId="1" fillId="2" borderId="6" xfId="0" applyFont="1" applyFill="1" applyBorder="1" applyAlignment="1">
      <alignment horizontal="left" indent="1"/>
    </xf>
    <xf numFmtId="0" fontId="1" fillId="2" borderId="7" xfId="0" applyFont="1" applyFill="1" applyBorder="1" applyAlignment="1">
      <alignment horizontal="left" indent="1"/>
    </xf>
    <xf numFmtId="1" fontId="2" fillId="2" borderId="11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left" vertical="center" wrapText="1"/>
    </xf>
    <xf numFmtId="0" fontId="2" fillId="2" borderId="7" xfId="0" applyNumberFormat="1" applyFont="1" applyFill="1" applyBorder="1" applyAlignment="1">
      <alignment horizontal="left" vertical="center" wrapText="1"/>
    </xf>
    <xf numFmtId="0" fontId="2" fillId="2" borderId="11" xfId="0" applyNumberFormat="1" applyFont="1" applyFill="1" applyBorder="1" applyAlignment="1">
      <alignment horizontal="center" vertical="top" wrapText="1"/>
    </xf>
    <xf numFmtId="2" fontId="2" fillId="2" borderId="11" xfId="0" applyNumberFormat="1" applyFont="1" applyFill="1" applyBorder="1" applyAlignment="1">
      <alignment horizontal="center" vertical="top" wrapText="1"/>
    </xf>
    <xf numFmtId="164" fontId="2" fillId="2" borderId="11" xfId="0" applyNumberFormat="1" applyFont="1" applyFill="1" applyBorder="1" applyAlignment="1">
      <alignment horizontal="center" vertical="top" wrapText="1"/>
    </xf>
    <xf numFmtId="1" fontId="2" fillId="2" borderId="11" xfId="0" applyNumberFormat="1" applyFont="1" applyFill="1" applyBorder="1" applyAlignment="1">
      <alignment horizontal="center" vertical="top"/>
    </xf>
    <xf numFmtId="2" fontId="2" fillId="2" borderId="11" xfId="0" applyNumberFormat="1" applyFont="1" applyFill="1" applyBorder="1" applyAlignment="1">
      <alignment horizontal="center" vertical="top"/>
    </xf>
    <xf numFmtId="0" fontId="2" fillId="2" borderId="11" xfId="0" applyNumberFormat="1" applyFont="1" applyFill="1" applyBorder="1" applyAlignment="1">
      <alignment horizontal="center" vertical="top"/>
    </xf>
    <xf numFmtId="0" fontId="2" fillId="2" borderId="11" xfId="0" applyNumberFormat="1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top"/>
    </xf>
    <xf numFmtId="0" fontId="2" fillId="2" borderId="11" xfId="0" applyNumberFormat="1" applyFont="1" applyFill="1" applyBorder="1" applyAlignment="1">
      <alignment horizontal="left" vertical="center" wrapText="1"/>
    </xf>
    <xf numFmtId="1" fontId="2" fillId="3" borderId="12" xfId="1" applyNumberFormat="1" applyFont="1" applyFill="1" applyBorder="1" applyAlignment="1">
      <alignment horizontal="center" vertical="center"/>
    </xf>
    <xf numFmtId="2" fontId="2" fillId="3" borderId="12" xfId="1" applyNumberFormat="1" applyFont="1" applyFill="1" applyBorder="1" applyAlignment="1">
      <alignment horizontal="left" vertical="center" wrapText="1"/>
    </xf>
    <xf numFmtId="0" fontId="2" fillId="3" borderId="12" xfId="1" applyNumberFormat="1" applyFont="1" applyFill="1" applyBorder="1" applyAlignment="1">
      <alignment horizontal="center" vertical="top"/>
    </xf>
    <xf numFmtId="2" fontId="1" fillId="3" borderId="13" xfId="0" applyNumberFormat="1" applyFont="1" applyFill="1" applyBorder="1" applyAlignment="1"/>
    <xf numFmtId="2" fontId="2" fillId="3" borderId="12" xfId="1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/>
    <xf numFmtId="2" fontId="1" fillId="2" borderId="6" xfId="0" applyNumberFormat="1" applyFont="1" applyFill="1" applyBorder="1" applyAlignment="1"/>
    <xf numFmtId="1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>
      <alignment horizontal="center" vertical="top"/>
    </xf>
    <xf numFmtId="10" fontId="1" fillId="2" borderId="5" xfId="0" applyNumberFormat="1" applyFont="1" applyFill="1" applyBorder="1" applyAlignment="1">
      <alignment horizontal="left"/>
    </xf>
    <xf numFmtId="10" fontId="1" fillId="2" borderId="6" xfId="0" applyNumberFormat="1" applyFont="1" applyFill="1" applyBorder="1" applyAlignment="1">
      <alignment horizontal="left"/>
    </xf>
    <xf numFmtId="10" fontId="1" fillId="2" borderId="7" xfId="0" applyNumberFormat="1" applyFont="1" applyFill="1" applyBorder="1" applyAlignment="1">
      <alignment horizontal="left"/>
    </xf>
    <xf numFmtId="10" fontId="1" fillId="2" borderId="6" xfId="0" applyNumberFormat="1" applyFont="1" applyFill="1" applyBorder="1" applyAlignment="1">
      <alignment horizontal="left"/>
    </xf>
    <xf numFmtId="10" fontId="1" fillId="2" borderId="6" xfId="0" applyNumberFormat="1" applyFont="1" applyFill="1" applyBorder="1" applyAlignment="1">
      <alignment horizontal="center" vertical="top"/>
    </xf>
    <xf numFmtId="165" fontId="1" fillId="2" borderId="11" xfId="0" applyNumberFormat="1" applyFont="1" applyFill="1" applyBorder="1" applyAlignment="1">
      <alignment horizontal="center" vertical="top"/>
    </xf>
    <xf numFmtId="166" fontId="2" fillId="2" borderId="11" xfId="0" applyNumberFormat="1" applyFont="1" applyFill="1" applyBorder="1" applyAlignment="1">
      <alignment horizontal="center" vertical="top"/>
    </xf>
    <xf numFmtId="167" fontId="2" fillId="2" borderId="11" xfId="0" applyNumberFormat="1" applyFont="1" applyFill="1" applyBorder="1" applyAlignment="1">
      <alignment horizontal="center" vertical="top"/>
    </xf>
    <xf numFmtId="0" fontId="2" fillId="3" borderId="12" xfId="1" applyNumberFormat="1" applyFont="1" applyFill="1" applyBorder="1" applyAlignment="1">
      <alignment horizontal="left" vertical="center" wrapText="1"/>
    </xf>
    <xf numFmtId="1" fontId="2" fillId="3" borderId="12" xfId="1" applyNumberFormat="1" applyFont="1" applyFill="1" applyBorder="1" applyAlignment="1">
      <alignment horizontal="center" vertical="top"/>
    </xf>
    <xf numFmtId="2" fontId="2" fillId="3" borderId="12" xfId="1" applyNumberFormat="1" applyFont="1" applyFill="1" applyBorder="1" applyAlignment="1">
      <alignment horizontal="center" vertical="top"/>
    </xf>
    <xf numFmtId="2" fontId="2" fillId="2" borderId="11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/>
    <xf numFmtId="0" fontId="1" fillId="2" borderId="6" xfId="0" applyFont="1" applyFill="1" applyBorder="1" applyAlignment="1"/>
    <xf numFmtId="166" fontId="1" fillId="2" borderId="11" xfId="0" applyNumberFormat="1" applyFont="1" applyFill="1" applyBorder="1" applyAlignment="1">
      <alignment horizontal="center" vertical="top"/>
    </xf>
    <xf numFmtId="1" fontId="2" fillId="3" borderId="12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left" vertical="center" wrapText="1"/>
    </xf>
    <xf numFmtId="1" fontId="2" fillId="3" borderId="12" xfId="0" applyNumberFormat="1" applyFont="1" applyFill="1" applyBorder="1" applyAlignment="1">
      <alignment horizontal="center" vertical="top"/>
    </xf>
    <xf numFmtId="2" fontId="2" fillId="3" borderId="12" xfId="0" applyNumberFormat="1" applyFont="1" applyFill="1" applyBorder="1" applyAlignment="1">
      <alignment horizontal="center" vertical="top"/>
    </xf>
    <xf numFmtId="166" fontId="2" fillId="3" borderId="12" xfId="0" applyNumberFormat="1" applyFont="1" applyFill="1" applyBorder="1" applyAlignment="1">
      <alignment horizontal="center" vertical="top"/>
    </xf>
    <xf numFmtId="0" fontId="2" fillId="3" borderId="12" xfId="0" applyNumberFormat="1" applyFont="1" applyFill="1" applyBorder="1" applyAlignment="1">
      <alignment horizontal="center" vertical="top"/>
    </xf>
    <xf numFmtId="164" fontId="1" fillId="2" borderId="11" xfId="0" applyNumberFormat="1" applyFont="1" applyFill="1" applyBorder="1" applyAlignment="1"/>
    <xf numFmtId="164" fontId="1" fillId="2" borderId="11" xfId="0" applyNumberFormat="1" applyFont="1" applyFill="1" applyBorder="1" applyAlignment="1">
      <alignment horizontal="center" vertical="top"/>
    </xf>
    <xf numFmtId="10" fontId="1" fillId="2" borderId="7" xfId="0" applyNumberFormat="1" applyFont="1" applyFill="1" applyBorder="1" applyAlignment="1">
      <alignment horizontal="left"/>
    </xf>
    <xf numFmtId="10" fontId="1" fillId="2" borderId="11" xfId="0" applyNumberFormat="1" applyFont="1" applyFill="1" applyBorder="1" applyAlignment="1">
      <alignment horizontal="center" vertical="top"/>
    </xf>
    <xf numFmtId="1" fontId="1" fillId="2" borderId="7" xfId="0" applyNumberFormat="1" applyFont="1" applyFill="1" applyBorder="1" applyAlignment="1"/>
    <xf numFmtId="2" fontId="1" fillId="2" borderId="7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9" fontId="1" fillId="2" borderId="11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horizontal="left" vertical="center"/>
    </xf>
    <xf numFmtId="0" fontId="2" fillId="2" borderId="0" xfId="0" applyNumberFormat="1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35"/>
  <sheetViews>
    <sheetView tabSelected="1" workbookViewId="0">
      <selection sqref="A1:T35"/>
    </sheetView>
  </sheetViews>
  <sheetFormatPr defaultRowHeight="15"/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2" t="s">
        <v>1</v>
      </c>
      <c r="B2" s="3"/>
      <c r="C2" s="3"/>
      <c r="D2" s="4"/>
      <c r="E2" s="4"/>
      <c r="F2" s="5"/>
      <c r="G2" s="6" t="s">
        <v>2</v>
      </c>
      <c r="H2" s="6"/>
      <c r="I2" s="6"/>
      <c r="J2" s="7"/>
      <c r="K2" s="7"/>
      <c r="L2" s="8" t="s">
        <v>3</v>
      </c>
      <c r="M2" s="8"/>
      <c r="N2" s="9" t="e">
        <f>#REF!</f>
        <v>#REF!</v>
      </c>
      <c r="O2" s="9"/>
      <c r="P2" s="9"/>
      <c r="Q2" s="9"/>
      <c r="R2" s="7"/>
      <c r="S2" s="7"/>
      <c r="T2" s="7"/>
    </row>
    <row r="3" spans="1:20">
      <c r="A3" s="3"/>
      <c r="B3" s="3"/>
      <c r="C3" s="3"/>
      <c r="D3" s="10" t="s">
        <v>4</v>
      </c>
      <c r="E3" s="10"/>
      <c r="F3" s="10"/>
      <c r="G3" s="11">
        <v>2</v>
      </c>
      <c r="H3" s="7"/>
      <c r="I3" s="4"/>
      <c r="J3" s="4"/>
      <c r="K3" s="4"/>
      <c r="L3" s="10" t="s">
        <v>5</v>
      </c>
      <c r="M3" s="10"/>
      <c r="N3" s="6" t="e">
        <f>#REF!</f>
        <v>#REF!</v>
      </c>
      <c r="O3" s="6"/>
      <c r="P3" s="6"/>
      <c r="Q3" s="6"/>
      <c r="R3" s="6"/>
      <c r="S3" s="6"/>
      <c r="T3" s="6"/>
    </row>
    <row r="4" spans="1:20">
      <c r="A4" s="12" t="s">
        <v>6</v>
      </c>
      <c r="B4" s="13" t="s">
        <v>7</v>
      </c>
      <c r="C4" s="14"/>
      <c r="D4" s="12" t="s">
        <v>8</v>
      </c>
      <c r="E4" s="15"/>
      <c r="F4" s="16" t="s">
        <v>9</v>
      </c>
      <c r="G4" s="17"/>
      <c r="H4" s="18"/>
      <c r="I4" s="12" t="s">
        <v>10</v>
      </c>
      <c r="J4" s="16" t="s">
        <v>11</v>
      </c>
      <c r="K4" s="17"/>
      <c r="L4" s="17"/>
      <c r="M4" s="17"/>
      <c r="N4" s="18"/>
      <c r="O4" s="16" t="s">
        <v>12</v>
      </c>
      <c r="P4" s="17"/>
      <c r="Q4" s="17"/>
      <c r="R4" s="17"/>
      <c r="S4" s="17"/>
      <c r="T4" s="18"/>
    </row>
    <row r="5" spans="1:20">
      <c r="A5" s="19"/>
      <c r="B5" s="20"/>
      <c r="C5" s="21"/>
      <c r="D5" s="19"/>
      <c r="E5" s="22"/>
      <c r="F5" s="23" t="s">
        <v>13</v>
      </c>
      <c r="G5" s="24" t="s">
        <v>14</v>
      </c>
      <c r="H5" s="24" t="s">
        <v>15</v>
      </c>
      <c r="I5" s="19"/>
      <c r="J5" s="24" t="s">
        <v>16</v>
      </c>
      <c r="K5" s="24" t="s">
        <v>17</v>
      </c>
      <c r="L5" s="24" t="s">
        <v>18</v>
      </c>
      <c r="M5" s="24" t="s">
        <v>19</v>
      </c>
      <c r="N5" s="24" t="s">
        <v>20</v>
      </c>
      <c r="O5" s="24" t="s">
        <v>21</v>
      </c>
      <c r="P5" s="24" t="s">
        <v>22</v>
      </c>
      <c r="Q5" s="24" t="s">
        <v>23</v>
      </c>
      <c r="R5" s="24" t="s">
        <v>24</v>
      </c>
      <c r="S5" s="24" t="s">
        <v>25</v>
      </c>
      <c r="T5" s="24" t="s">
        <v>26</v>
      </c>
    </row>
    <row r="6" spans="1:20">
      <c r="A6" s="25">
        <v>1</v>
      </c>
      <c r="B6" s="26">
        <v>2</v>
      </c>
      <c r="C6" s="27"/>
      <c r="D6" s="28">
        <v>3</v>
      </c>
      <c r="E6" s="28"/>
      <c r="F6" s="29">
        <v>4</v>
      </c>
      <c r="G6" s="28">
        <v>5</v>
      </c>
      <c r="H6" s="28">
        <v>6</v>
      </c>
      <c r="I6" s="28">
        <v>7</v>
      </c>
      <c r="J6" s="28">
        <v>8</v>
      </c>
      <c r="K6" s="28">
        <v>9</v>
      </c>
      <c r="L6" s="28">
        <v>10</v>
      </c>
      <c r="M6" s="28">
        <v>11</v>
      </c>
      <c r="N6" s="28">
        <v>12</v>
      </c>
      <c r="O6" s="28">
        <v>13</v>
      </c>
      <c r="P6" s="28">
        <v>14</v>
      </c>
      <c r="Q6" s="28">
        <v>15</v>
      </c>
      <c r="R6" s="28">
        <v>16</v>
      </c>
      <c r="S6" s="28">
        <v>17</v>
      </c>
      <c r="T6" s="28">
        <v>18</v>
      </c>
    </row>
    <row r="7" spans="1:20">
      <c r="A7" s="30" t="s">
        <v>27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2"/>
    </row>
    <row r="8" spans="1:20">
      <c r="A8" s="33" t="s">
        <v>28</v>
      </c>
      <c r="B8" s="34" t="s">
        <v>29</v>
      </c>
      <c r="C8" s="35"/>
      <c r="D8" s="36">
        <v>60</v>
      </c>
      <c r="E8" s="36">
        <v>12.97</v>
      </c>
      <c r="F8" s="37">
        <v>0.56000000000000005</v>
      </c>
      <c r="G8" s="37">
        <v>0.05</v>
      </c>
      <c r="H8" s="37">
        <v>1.75</v>
      </c>
      <c r="I8" s="37">
        <v>9.69</v>
      </c>
      <c r="J8" s="38">
        <v>0.01</v>
      </c>
      <c r="K8" s="37">
        <v>0.01</v>
      </c>
      <c r="L8" s="37">
        <v>5.25</v>
      </c>
      <c r="M8" s="38">
        <v>0</v>
      </c>
      <c r="N8" s="36">
        <v>0.35</v>
      </c>
      <c r="O8" s="37">
        <v>5</v>
      </c>
      <c r="P8" s="37">
        <v>17.5</v>
      </c>
      <c r="Q8" s="38">
        <v>7.0000000000000007E-2</v>
      </c>
      <c r="R8" s="38">
        <v>0</v>
      </c>
      <c r="S8" s="37">
        <v>7.5</v>
      </c>
      <c r="T8" s="37">
        <v>0.4</v>
      </c>
    </row>
    <row r="9" spans="1:20">
      <c r="A9" s="25">
        <v>291</v>
      </c>
      <c r="B9" s="34" t="s">
        <v>30</v>
      </c>
      <c r="C9" s="35"/>
      <c r="D9" s="39">
        <v>220</v>
      </c>
      <c r="E9" s="40">
        <v>50.45</v>
      </c>
      <c r="F9" s="40">
        <v>20.492999999999999</v>
      </c>
      <c r="G9" s="40">
        <v>23.95</v>
      </c>
      <c r="H9" s="40">
        <v>43.295999999999999</v>
      </c>
      <c r="I9" s="40">
        <v>470.77</v>
      </c>
      <c r="J9" s="40">
        <v>0.748</v>
      </c>
      <c r="K9" s="40">
        <v>0.72599999999999998</v>
      </c>
      <c r="L9" s="40">
        <v>3.93</v>
      </c>
      <c r="M9" s="40">
        <v>0.42</v>
      </c>
      <c r="N9" s="41">
        <v>0</v>
      </c>
      <c r="O9" s="40">
        <v>40.600999999999999</v>
      </c>
      <c r="P9" s="40">
        <v>276.51</v>
      </c>
      <c r="Q9" s="39">
        <v>0</v>
      </c>
      <c r="R9" s="39">
        <v>0</v>
      </c>
      <c r="S9" s="40">
        <v>59.026000000000003</v>
      </c>
      <c r="T9" s="40">
        <v>2.5409999999999999</v>
      </c>
    </row>
    <row r="10" spans="1:20">
      <c r="A10" s="42">
        <v>41</v>
      </c>
      <c r="B10" s="34" t="s">
        <v>31</v>
      </c>
      <c r="C10" s="35"/>
      <c r="D10" s="39">
        <v>5</v>
      </c>
      <c r="E10" s="40">
        <v>7.5</v>
      </c>
      <c r="F10" s="40">
        <v>0</v>
      </c>
      <c r="G10" s="43">
        <v>4.0999999999999996</v>
      </c>
      <c r="H10" s="43">
        <v>0.05</v>
      </c>
      <c r="I10" s="43">
        <v>37.5</v>
      </c>
      <c r="J10" s="43">
        <v>0</v>
      </c>
      <c r="K10" s="43">
        <f>0.01*D10/30</f>
        <v>1.6666666666666668E-3</v>
      </c>
      <c r="L10" s="43">
        <v>0</v>
      </c>
      <c r="M10" s="43">
        <v>29.5</v>
      </c>
      <c r="N10" s="43">
        <v>0</v>
      </c>
      <c r="O10" s="43">
        <v>0.5</v>
      </c>
      <c r="P10" s="43">
        <v>1</v>
      </c>
      <c r="Q10" s="43">
        <f>0.008*D10/30</f>
        <v>1.3333333333333333E-3</v>
      </c>
      <c r="R10" s="43">
        <f>0.001*D10/30</f>
        <v>1.6666666666666666E-4</v>
      </c>
      <c r="S10" s="43">
        <v>0</v>
      </c>
      <c r="T10" s="43">
        <v>0</v>
      </c>
    </row>
    <row r="11" spans="1:20">
      <c r="A11" s="42" t="s">
        <v>28</v>
      </c>
      <c r="B11" s="34" t="s">
        <v>32</v>
      </c>
      <c r="C11" s="35"/>
      <c r="D11" s="39">
        <v>30</v>
      </c>
      <c r="E11" s="40">
        <v>2.85</v>
      </c>
      <c r="F11" s="40">
        <f>1.52*D11/30</f>
        <v>1.52</v>
      </c>
      <c r="G11" s="43">
        <f>0.16*D11/30</f>
        <v>0.16</v>
      </c>
      <c r="H11" s="43">
        <f>9.84*D11/30</f>
        <v>9.84</v>
      </c>
      <c r="I11" s="43">
        <f>F11*4+G11*9+H11*4</f>
        <v>46.879999999999995</v>
      </c>
      <c r="J11" s="43">
        <f>0.02*D11/30</f>
        <v>0.02</v>
      </c>
      <c r="K11" s="43">
        <f>0.01*D11/30</f>
        <v>0.01</v>
      </c>
      <c r="L11" s="43">
        <f>0.44*D11/30</f>
        <v>0.44</v>
      </c>
      <c r="M11" s="43">
        <v>0</v>
      </c>
      <c r="N11" s="43">
        <f>0.7*D11/30</f>
        <v>0.7</v>
      </c>
      <c r="O11" s="43">
        <f>4*D11/30</f>
        <v>4</v>
      </c>
      <c r="P11" s="43">
        <f>13*D11/30</f>
        <v>13</v>
      </c>
      <c r="Q11" s="43">
        <f>0.008*D11/30</f>
        <v>8.0000000000000002E-3</v>
      </c>
      <c r="R11" s="43">
        <f>0.001*D11/30</f>
        <v>1E-3</v>
      </c>
      <c r="S11" s="43">
        <v>0</v>
      </c>
      <c r="T11" s="43">
        <f>0.22*D11/30</f>
        <v>0.22</v>
      </c>
    </row>
    <row r="12" spans="1:20">
      <c r="A12" s="25">
        <v>377</v>
      </c>
      <c r="B12" s="44" t="s">
        <v>33</v>
      </c>
      <c r="C12" s="44"/>
      <c r="D12" s="39">
        <v>200</v>
      </c>
      <c r="E12" s="40">
        <v>4.53</v>
      </c>
      <c r="F12" s="40">
        <v>0.26</v>
      </c>
      <c r="G12" s="40">
        <v>0.06</v>
      </c>
      <c r="H12" s="40">
        <v>15.22</v>
      </c>
      <c r="I12" s="40">
        <f>F12*4+G12*9+H12*4</f>
        <v>62.46</v>
      </c>
      <c r="J12" s="40">
        <v>0</v>
      </c>
      <c r="K12" s="40">
        <v>0.01</v>
      </c>
      <c r="L12" s="40">
        <v>2.9</v>
      </c>
      <c r="M12" s="41">
        <v>0</v>
      </c>
      <c r="N12" s="40">
        <v>0.06</v>
      </c>
      <c r="O12" s="40">
        <v>8.0500000000000007</v>
      </c>
      <c r="P12" s="40">
        <v>9.7799999999999994</v>
      </c>
      <c r="Q12" s="40">
        <v>1.7000000000000001E-2</v>
      </c>
      <c r="R12" s="43">
        <v>0</v>
      </c>
      <c r="S12" s="40">
        <v>5.24</v>
      </c>
      <c r="T12" s="40">
        <v>0.87</v>
      </c>
    </row>
    <row r="13" spans="1:20">
      <c r="A13" s="45" t="s">
        <v>28</v>
      </c>
      <c r="B13" s="46" t="s">
        <v>34</v>
      </c>
      <c r="C13" s="46"/>
      <c r="D13" s="47">
        <v>200</v>
      </c>
      <c r="E13" s="48"/>
      <c r="F13" s="49">
        <v>5.6</v>
      </c>
      <c r="G13" s="49">
        <v>6.4</v>
      </c>
      <c r="H13" s="49">
        <v>9.4</v>
      </c>
      <c r="I13" s="49">
        <v>117.6</v>
      </c>
      <c r="J13" s="49">
        <v>0.08</v>
      </c>
      <c r="K13" s="49">
        <v>0.307</v>
      </c>
      <c r="L13" s="49">
        <v>2.6</v>
      </c>
      <c r="M13" s="49">
        <v>6.7000000000000004E-2</v>
      </c>
      <c r="N13" s="49">
        <v>0.29199999999999998</v>
      </c>
      <c r="O13" s="49">
        <v>240</v>
      </c>
      <c r="P13" s="49">
        <v>180</v>
      </c>
      <c r="Q13" s="49">
        <v>0.8</v>
      </c>
      <c r="R13" s="49">
        <v>1.7999999999999999E-2</v>
      </c>
      <c r="S13" s="49">
        <v>28</v>
      </c>
      <c r="T13" s="49">
        <v>0.12</v>
      </c>
    </row>
    <row r="14" spans="1:20">
      <c r="A14" s="50">
        <f>A78</f>
        <v>0</v>
      </c>
      <c r="B14" s="51"/>
      <c r="C14" s="51"/>
      <c r="D14" s="52">
        <f>SUM(D8:D13)</f>
        <v>715</v>
      </c>
      <c r="E14" s="53">
        <f>SUM(E8:E12)</f>
        <v>78.3</v>
      </c>
      <c r="F14" s="54">
        <f>SUM(F8:F13)</f>
        <v>28.433</v>
      </c>
      <c r="G14" s="54">
        <f t="shared" ref="G14:T14" si="0">SUM(G8:G13)</f>
        <v>34.72</v>
      </c>
      <c r="H14" s="54">
        <f t="shared" si="0"/>
        <v>79.555999999999997</v>
      </c>
      <c r="I14" s="54">
        <f t="shared" si="0"/>
        <v>744.90000000000009</v>
      </c>
      <c r="J14" s="54">
        <f t="shared" si="0"/>
        <v>0.85799999999999998</v>
      </c>
      <c r="K14" s="54">
        <f t="shared" si="0"/>
        <v>1.0646666666666667</v>
      </c>
      <c r="L14" s="54">
        <f t="shared" si="0"/>
        <v>15.12</v>
      </c>
      <c r="M14" s="54">
        <f t="shared" si="0"/>
        <v>29.987000000000002</v>
      </c>
      <c r="N14" s="54">
        <f t="shared" si="0"/>
        <v>1.4019999999999999</v>
      </c>
      <c r="O14" s="54">
        <f t="shared" si="0"/>
        <v>298.15100000000001</v>
      </c>
      <c r="P14" s="54">
        <f t="shared" si="0"/>
        <v>497.78999999999996</v>
      </c>
      <c r="Q14" s="54">
        <f t="shared" si="0"/>
        <v>0.89633333333333343</v>
      </c>
      <c r="R14" s="54">
        <f t="shared" si="0"/>
        <v>1.9166666666666665E-2</v>
      </c>
      <c r="S14" s="54">
        <f t="shared" si="0"/>
        <v>99.766000000000005</v>
      </c>
      <c r="T14" s="54">
        <f t="shared" si="0"/>
        <v>4.1509999999999998</v>
      </c>
    </row>
    <row r="15" spans="1:20">
      <c r="A15" s="55" t="s">
        <v>35</v>
      </c>
      <c r="B15" s="56"/>
      <c r="C15" s="56"/>
      <c r="D15" s="57"/>
      <c r="E15" s="58"/>
      <c r="F15" s="59">
        <f t="shared" ref="F15:T15" si="1">F14/F33</f>
        <v>0.31592222222222222</v>
      </c>
      <c r="G15" s="60">
        <f t="shared" si="1"/>
        <v>0.37739130434782608</v>
      </c>
      <c r="H15" s="60">
        <f t="shared" si="1"/>
        <v>0.20771801566579634</v>
      </c>
      <c r="I15" s="60">
        <f t="shared" si="1"/>
        <v>0.27386029411764712</v>
      </c>
      <c r="J15" s="60">
        <f t="shared" si="1"/>
        <v>0.61285714285714288</v>
      </c>
      <c r="K15" s="60">
        <f t="shared" si="1"/>
        <v>0.66541666666666666</v>
      </c>
      <c r="L15" s="60">
        <f t="shared" si="1"/>
        <v>0.216</v>
      </c>
      <c r="M15" s="60">
        <f t="shared" si="1"/>
        <v>33.318888888888893</v>
      </c>
      <c r="N15" s="60">
        <f t="shared" si="1"/>
        <v>0.11683333333333333</v>
      </c>
      <c r="O15" s="60">
        <f t="shared" si="1"/>
        <v>0.24845916666666668</v>
      </c>
      <c r="P15" s="60">
        <f t="shared" si="1"/>
        <v>0.41482499999999994</v>
      </c>
      <c r="Q15" s="60">
        <f t="shared" si="1"/>
        <v>6.4023809523809525E-2</v>
      </c>
      <c r="R15" s="60">
        <f t="shared" si="1"/>
        <v>0.19166666666666665</v>
      </c>
      <c r="S15" s="60">
        <f t="shared" si="1"/>
        <v>0.33255333333333337</v>
      </c>
      <c r="T15" s="60">
        <f t="shared" si="1"/>
        <v>0.2306111111111111</v>
      </c>
    </row>
    <row r="16" spans="1:20">
      <c r="A16" s="30" t="s">
        <v>36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2"/>
    </row>
    <row r="17" spans="1:20">
      <c r="A17" s="25" t="s">
        <v>37</v>
      </c>
      <c r="B17" s="34" t="s">
        <v>38</v>
      </c>
      <c r="C17" s="35"/>
      <c r="D17" s="39">
        <v>100</v>
      </c>
      <c r="E17" s="40">
        <v>9.51</v>
      </c>
      <c r="F17" s="40">
        <f>0.9*D17/60</f>
        <v>1.5</v>
      </c>
      <c r="G17" s="61">
        <f>3.1*D17/60</f>
        <v>5.166666666666667</v>
      </c>
      <c r="H17" s="61">
        <f>5.6*D17/60</f>
        <v>9.3333333333333339</v>
      </c>
      <c r="I17" s="40">
        <f>F17*4+G17*9+H17*4</f>
        <v>89.833333333333343</v>
      </c>
      <c r="J17" s="43">
        <f>0.1*D17/60</f>
        <v>0.16666666666666666</v>
      </c>
      <c r="K17" s="43">
        <f>0.1*D17/60</f>
        <v>0.16666666666666666</v>
      </c>
      <c r="L17" s="40">
        <f>12.3*D17/60</f>
        <v>20.5</v>
      </c>
      <c r="M17" s="43">
        <f>0.02*D17/60</f>
        <v>3.3333333333333333E-2</v>
      </c>
      <c r="N17" s="43">
        <f>0.5*D17/60</f>
        <v>0.83333333333333337</v>
      </c>
      <c r="O17" s="61">
        <f>59.9*D17/60</f>
        <v>99.833333333333329</v>
      </c>
      <c r="P17" s="61">
        <f>31.3*D17/60</f>
        <v>52.166666666666664</v>
      </c>
      <c r="Q17" s="62">
        <f>0.4228*D17/60</f>
        <v>0.70466666666666666</v>
      </c>
      <c r="R17" s="43">
        <f>0.003*D17/60</f>
        <v>5.0000000000000001E-3</v>
      </c>
      <c r="S17" s="61">
        <f>16.3*D17/60</f>
        <v>27.166666666666668</v>
      </c>
      <c r="T17" s="40">
        <f>0.7*D17/60</f>
        <v>1.1666666666666667</v>
      </c>
    </row>
    <row r="18" spans="1:20">
      <c r="A18" s="25">
        <v>82</v>
      </c>
      <c r="B18" s="34" t="s">
        <v>39</v>
      </c>
      <c r="C18" s="35"/>
      <c r="D18" s="41">
        <v>250</v>
      </c>
      <c r="E18" s="41">
        <v>12.27</v>
      </c>
      <c r="F18" s="40">
        <v>2.4300000000000002</v>
      </c>
      <c r="G18" s="40">
        <v>3.12</v>
      </c>
      <c r="H18" s="40">
        <v>12.01</v>
      </c>
      <c r="I18" s="40">
        <f>F18*4+G18*9+H18*4</f>
        <v>85.84</v>
      </c>
      <c r="J18" s="41">
        <v>6.4000000000000001E-2</v>
      </c>
      <c r="K18" s="41">
        <v>6.4000000000000001E-2</v>
      </c>
      <c r="L18" s="40">
        <v>20.98</v>
      </c>
      <c r="M18" s="43">
        <v>7.5999999999999998E-2</v>
      </c>
      <c r="N18" s="40">
        <v>0.25700000000000001</v>
      </c>
      <c r="O18" s="40">
        <v>49.59</v>
      </c>
      <c r="P18" s="40">
        <v>58.68</v>
      </c>
      <c r="Q18" s="40">
        <v>0.746</v>
      </c>
      <c r="R18" s="43">
        <v>1.0999999999999999E-2</v>
      </c>
      <c r="S18" s="40">
        <v>25.43</v>
      </c>
      <c r="T18" s="40">
        <v>1.32</v>
      </c>
    </row>
    <row r="19" spans="1:20">
      <c r="A19" s="25">
        <v>279</v>
      </c>
      <c r="B19" s="34" t="s">
        <v>40</v>
      </c>
      <c r="C19" s="35"/>
      <c r="D19" s="41">
        <v>130</v>
      </c>
      <c r="E19" s="41">
        <v>37.72</v>
      </c>
      <c r="F19" s="40">
        <v>13.49</v>
      </c>
      <c r="G19" s="61">
        <v>16.190000000000001</v>
      </c>
      <c r="H19" s="61">
        <v>17.18</v>
      </c>
      <c r="I19" s="40">
        <v>264.09500000000003</v>
      </c>
      <c r="J19" s="41">
        <v>0.18</v>
      </c>
      <c r="K19" s="40">
        <v>0.14899999999999999</v>
      </c>
      <c r="L19" s="40">
        <v>0.36</v>
      </c>
      <c r="M19" s="41">
        <v>8.9999999999999993E-3</v>
      </c>
      <c r="N19" s="41">
        <v>0.01</v>
      </c>
      <c r="O19" s="61">
        <v>14.55</v>
      </c>
      <c r="P19" s="61">
        <v>159.33000000000001</v>
      </c>
      <c r="Q19" s="40">
        <v>2.29</v>
      </c>
      <c r="R19" s="43">
        <v>3.5000000000000003E-2</v>
      </c>
      <c r="S19" s="61">
        <v>23.33</v>
      </c>
      <c r="T19" s="40">
        <v>2.29</v>
      </c>
    </row>
    <row r="20" spans="1:20">
      <c r="A20" s="42">
        <v>171</v>
      </c>
      <c r="B20" s="34" t="s">
        <v>41</v>
      </c>
      <c r="C20" s="35"/>
      <c r="D20" s="39">
        <v>180</v>
      </c>
      <c r="E20" s="40">
        <v>18.010000000000002</v>
      </c>
      <c r="F20" s="40">
        <f>6.57*D20/150</f>
        <v>7.8840000000000012</v>
      </c>
      <c r="G20" s="40">
        <f>4.19*D20/150</f>
        <v>5.0280000000000005</v>
      </c>
      <c r="H20" s="40">
        <f>32.32*D20/150</f>
        <v>38.783999999999999</v>
      </c>
      <c r="I20" s="40">
        <f>F20*4+G20*9+H20*4</f>
        <v>231.92400000000001</v>
      </c>
      <c r="J20" s="43">
        <f>0.06*D20/150</f>
        <v>7.1999999999999995E-2</v>
      </c>
      <c r="K20" s="43">
        <f>0.03*D20/150</f>
        <v>3.5999999999999997E-2</v>
      </c>
      <c r="L20" s="41">
        <v>0</v>
      </c>
      <c r="M20" s="43">
        <f>0.03*D20/150</f>
        <v>3.5999999999999997E-2</v>
      </c>
      <c r="N20" s="41">
        <f>2.55*D20/150</f>
        <v>3.0599999999999996</v>
      </c>
      <c r="O20" s="40">
        <f>18.12*D20/150</f>
        <v>21.744000000000003</v>
      </c>
      <c r="P20" s="40">
        <f>157.03*D20/150</f>
        <v>188.43600000000001</v>
      </c>
      <c r="Q20" s="43">
        <f>0.8874*D20/150</f>
        <v>1.06488</v>
      </c>
      <c r="R20" s="43">
        <f>0.00135*D20/150</f>
        <v>1.6200000000000001E-3</v>
      </c>
      <c r="S20" s="40">
        <f>104.45*D20/150</f>
        <v>125.34</v>
      </c>
      <c r="T20" s="40">
        <f>3.55*D20/150</f>
        <v>4.26</v>
      </c>
    </row>
    <row r="21" spans="1:20">
      <c r="A21" s="45">
        <v>345</v>
      </c>
      <c r="B21" s="63" t="s">
        <v>42</v>
      </c>
      <c r="C21" s="63"/>
      <c r="D21" s="64">
        <v>200</v>
      </c>
      <c r="E21" s="65">
        <v>4.9000000000000004</v>
      </c>
      <c r="F21" s="65">
        <v>0.06</v>
      </c>
      <c r="G21" s="65">
        <v>0.02</v>
      </c>
      <c r="H21" s="65">
        <v>20.73</v>
      </c>
      <c r="I21" s="65">
        <v>83.34</v>
      </c>
      <c r="J21" s="65">
        <v>0</v>
      </c>
      <c r="K21" s="65">
        <v>0</v>
      </c>
      <c r="L21" s="65">
        <v>2.5</v>
      </c>
      <c r="M21" s="65">
        <v>4.0000000000000001E-3</v>
      </c>
      <c r="N21" s="65">
        <v>0.2</v>
      </c>
      <c r="O21" s="65">
        <v>4</v>
      </c>
      <c r="P21" s="65">
        <v>3.3</v>
      </c>
      <c r="Q21" s="65">
        <v>0.08</v>
      </c>
      <c r="R21" s="65">
        <v>1E-3</v>
      </c>
      <c r="S21" s="65">
        <v>1.7</v>
      </c>
      <c r="T21" s="65">
        <v>0.15</v>
      </c>
    </row>
    <row r="22" spans="1:20">
      <c r="A22" s="66" t="s">
        <v>28</v>
      </c>
      <c r="B22" s="34" t="s">
        <v>43</v>
      </c>
      <c r="C22" s="35"/>
      <c r="D22" s="39">
        <v>40</v>
      </c>
      <c r="E22" s="40">
        <v>2.56</v>
      </c>
      <c r="F22" s="40">
        <f>2.64*D22/40</f>
        <v>2.64</v>
      </c>
      <c r="G22" s="40">
        <f>0.48*D22/40</f>
        <v>0.48</v>
      </c>
      <c r="H22" s="40">
        <f>13.68*D22/40</f>
        <v>13.680000000000001</v>
      </c>
      <c r="I22" s="61">
        <f>F22*4+G22*9+H22*4</f>
        <v>69.600000000000009</v>
      </c>
      <c r="J22" s="41">
        <f>0.08*D22/40</f>
        <v>0.08</v>
      </c>
      <c r="K22" s="40">
        <f>0.04*D22/40</f>
        <v>0.04</v>
      </c>
      <c r="L22" s="39">
        <v>0</v>
      </c>
      <c r="M22" s="39">
        <v>0</v>
      </c>
      <c r="N22" s="40">
        <f>2.4*D22/40</f>
        <v>2.4</v>
      </c>
      <c r="O22" s="40">
        <f>14*D22/40</f>
        <v>14</v>
      </c>
      <c r="P22" s="40">
        <f>63.2*D22/40</f>
        <v>63.2</v>
      </c>
      <c r="Q22" s="40">
        <f>1.2*D22/40</f>
        <v>1.2</v>
      </c>
      <c r="R22" s="43">
        <f>0.001*D22/40</f>
        <v>1E-3</v>
      </c>
      <c r="S22" s="40">
        <f>9.4*D22/40</f>
        <v>9.4</v>
      </c>
      <c r="T22" s="41">
        <f>0.78*D22/40</f>
        <v>0.78</v>
      </c>
    </row>
    <row r="23" spans="1:20">
      <c r="A23" s="42" t="s">
        <v>28</v>
      </c>
      <c r="B23" s="34" t="s">
        <v>32</v>
      </c>
      <c r="C23" s="35"/>
      <c r="D23" s="39">
        <v>30</v>
      </c>
      <c r="E23" s="40">
        <v>2.85</v>
      </c>
      <c r="F23" s="40">
        <f>1.52*D23/30</f>
        <v>1.52</v>
      </c>
      <c r="G23" s="43">
        <f>0.16*D23/30</f>
        <v>0.16</v>
      </c>
      <c r="H23" s="43">
        <f>9.84*D23/30</f>
        <v>9.84</v>
      </c>
      <c r="I23" s="43">
        <f>F23*4+G23*9+H23*4</f>
        <v>46.879999999999995</v>
      </c>
      <c r="J23" s="43">
        <f>0.02*D23/30</f>
        <v>0.02</v>
      </c>
      <c r="K23" s="43">
        <f>0.01*D23/30</f>
        <v>0.01</v>
      </c>
      <c r="L23" s="43">
        <f>0.44*D23/30</f>
        <v>0.44</v>
      </c>
      <c r="M23" s="43">
        <v>0</v>
      </c>
      <c r="N23" s="43">
        <f>0.7*D23/30</f>
        <v>0.7</v>
      </c>
      <c r="O23" s="43">
        <f>4*D23/30</f>
        <v>4</v>
      </c>
      <c r="P23" s="43">
        <f>13*D23/30</f>
        <v>13</v>
      </c>
      <c r="Q23" s="43">
        <f>0.008*D23/30</f>
        <v>8.0000000000000002E-3</v>
      </c>
      <c r="R23" s="43">
        <f>0.001*D23/30</f>
        <v>1E-3</v>
      </c>
      <c r="S23" s="43">
        <v>0</v>
      </c>
      <c r="T23" s="43">
        <f>0.22*D23/30</f>
        <v>0.22</v>
      </c>
    </row>
    <row r="24" spans="1:20">
      <c r="A24" s="42" t="s">
        <v>28</v>
      </c>
      <c r="B24" s="34" t="s">
        <v>44</v>
      </c>
      <c r="C24" s="35"/>
      <c r="D24" s="39">
        <v>30</v>
      </c>
      <c r="E24" s="40">
        <v>10.18</v>
      </c>
      <c r="F24" s="40">
        <v>0.25</v>
      </c>
      <c r="G24" s="43">
        <v>0.03</v>
      </c>
      <c r="H24" s="43">
        <v>5.23</v>
      </c>
      <c r="I24" s="43">
        <v>48</v>
      </c>
      <c r="J24" s="43">
        <f>0.02*D24/30</f>
        <v>0.02</v>
      </c>
      <c r="K24" s="43">
        <f>0.01*D24/30</f>
        <v>0.01</v>
      </c>
      <c r="L24" s="43">
        <f>0.44*D24/30</f>
        <v>0.44</v>
      </c>
      <c r="M24" s="43">
        <v>0</v>
      </c>
      <c r="N24" s="43">
        <f>0.7*D24/30</f>
        <v>0.7</v>
      </c>
      <c r="O24" s="43">
        <f>4*D24/30</f>
        <v>4</v>
      </c>
      <c r="P24" s="43">
        <f>13*D24/30</f>
        <v>13</v>
      </c>
      <c r="Q24" s="43">
        <f>0.008*D24/30</f>
        <v>8.0000000000000002E-3</v>
      </c>
      <c r="R24" s="43">
        <f>0.001*D24/30</f>
        <v>1E-3</v>
      </c>
      <c r="S24" s="43">
        <v>0</v>
      </c>
      <c r="T24" s="43">
        <f>0.22*D24/30</f>
        <v>0.22</v>
      </c>
    </row>
    <row r="25" spans="1:20">
      <c r="A25" s="67" t="s">
        <v>45</v>
      </c>
      <c r="B25" s="68"/>
      <c r="C25" s="68"/>
      <c r="D25" s="52">
        <f t="shared" ref="D25:T25" si="2">SUM(D17:D24)</f>
        <v>960</v>
      </c>
      <c r="E25" s="53">
        <f t="shared" si="2"/>
        <v>98</v>
      </c>
      <c r="F25" s="54">
        <f t="shared" si="2"/>
        <v>29.774000000000001</v>
      </c>
      <c r="G25" s="69">
        <f t="shared" si="2"/>
        <v>30.194666666666667</v>
      </c>
      <c r="H25" s="69">
        <f t="shared" si="2"/>
        <v>126.78733333333335</v>
      </c>
      <c r="I25" s="69">
        <f t="shared" si="2"/>
        <v>919.51233333333346</v>
      </c>
      <c r="J25" s="69">
        <f t="shared" si="2"/>
        <v>0.60266666666666668</v>
      </c>
      <c r="K25" s="69">
        <f t="shared" si="2"/>
        <v>0.47566666666666663</v>
      </c>
      <c r="L25" s="69">
        <f t="shared" si="2"/>
        <v>45.22</v>
      </c>
      <c r="M25" s="69">
        <f t="shared" si="2"/>
        <v>0.15833333333333333</v>
      </c>
      <c r="N25" s="69">
        <f t="shared" si="2"/>
        <v>8.1603333333333339</v>
      </c>
      <c r="O25" s="69">
        <f t="shared" si="2"/>
        <v>211.71733333333336</v>
      </c>
      <c r="P25" s="69">
        <f t="shared" si="2"/>
        <v>551.11266666666666</v>
      </c>
      <c r="Q25" s="69">
        <f t="shared" si="2"/>
        <v>6.1015466666666667</v>
      </c>
      <c r="R25" s="69">
        <f t="shared" si="2"/>
        <v>5.6620000000000011E-2</v>
      </c>
      <c r="S25" s="69">
        <f t="shared" si="2"/>
        <v>212.36666666666665</v>
      </c>
      <c r="T25" s="69">
        <f t="shared" si="2"/>
        <v>10.406666666666668</v>
      </c>
    </row>
    <row r="26" spans="1:20">
      <c r="A26" s="55" t="s">
        <v>35</v>
      </c>
      <c r="B26" s="56"/>
      <c r="C26" s="56"/>
      <c r="D26" s="57"/>
      <c r="E26" s="58"/>
      <c r="F26" s="59">
        <f t="shared" ref="F26:T26" si="3">F25/F33</f>
        <v>0.33082222222222224</v>
      </c>
      <c r="G26" s="60">
        <f t="shared" si="3"/>
        <v>0.32820289855072465</v>
      </c>
      <c r="H26" s="60">
        <f t="shared" si="3"/>
        <v>0.33103742384682339</v>
      </c>
      <c r="I26" s="60">
        <f t="shared" si="3"/>
        <v>0.3380560049019608</v>
      </c>
      <c r="J26" s="60">
        <f t="shared" si="3"/>
        <v>0.43047619047619051</v>
      </c>
      <c r="K26" s="60">
        <f t="shared" si="3"/>
        <v>0.29729166666666662</v>
      </c>
      <c r="L26" s="60">
        <f t="shared" si="3"/>
        <v>0.64600000000000002</v>
      </c>
      <c r="M26" s="60">
        <f t="shared" si="3"/>
        <v>0.1759259259259259</v>
      </c>
      <c r="N26" s="60">
        <f t="shared" si="3"/>
        <v>0.68002777777777779</v>
      </c>
      <c r="O26" s="60">
        <f t="shared" si="3"/>
        <v>0.17643111111111112</v>
      </c>
      <c r="P26" s="60">
        <f t="shared" si="3"/>
        <v>0.45926055555555556</v>
      </c>
      <c r="Q26" s="60">
        <f t="shared" si="3"/>
        <v>0.43582476190476188</v>
      </c>
      <c r="R26" s="60">
        <f t="shared" si="3"/>
        <v>0.56620000000000004</v>
      </c>
      <c r="S26" s="60">
        <f t="shared" si="3"/>
        <v>0.70788888888888879</v>
      </c>
      <c r="T26" s="60">
        <f t="shared" si="3"/>
        <v>0.57814814814814819</v>
      </c>
    </row>
    <row r="27" spans="1:20">
      <c r="A27" s="30" t="s">
        <v>46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2"/>
    </row>
    <row r="28" spans="1:20">
      <c r="A28" s="70"/>
      <c r="B28" s="71"/>
      <c r="C28" s="71"/>
      <c r="D28" s="72"/>
      <c r="E28" s="73"/>
      <c r="F28" s="73"/>
      <c r="G28" s="73"/>
      <c r="H28" s="73"/>
      <c r="I28" s="73"/>
      <c r="J28" s="73"/>
      <c r="K28" s="73"/>
      <c r="L28" s="74"/>
      <c r="M28" s="73"/>
      <c r="N28" s="75"/>
      <c r="O28" s="74"/>
      <c r="P28" s="73"/>
      <c r="Q28" s="74"/>
      <c r="R28" s="72"/>
      <c r="S28" s="73"/>
      <c r="T28" s="73"/>
    </row>
    <row r="29" spans="1:20">
      <c r="A29" s="25"/>
      <c r="B29" s="44"/>
      <c r="C29" s="44"/>
      <c r="D29" s="39"/>
      <c r="E29" s="40"/>
      <c r="F29" s="40"/>
      <c r="G29" s="40"/>
      <c r="H29" s="40"/>
      <c r="I29" s="40"/>
      <c r="J29" s="40"/>
      <c r="K29" s="40"/>
      <c r="L29" s="40"/>
      <c r="M29" s="41"/>
      <c r="N29" s="40"/>
      <c r="O29" s="40"/>
      <c r="P29" s="40"/>
      <c r="Q29" s="40"/>
      <c r="R29" s="43"/>
      <c r="S29" s="40"/>
      <c r="T29" s="40"/>
    </row>
    <row r="30" spans="1:20">
      <c r="A30" s="67" t="s">
        <v>47</v>
      </c>
      <c r="B30" s="68"/>
      <c r="C30" s="68"/>
      <c r="D30" s="52"/>
      <c r="E30" s="76">
        <f>SUM(E28:E29)</f>
        <v>0</v>
      </c>
      <c r="F30" s="54">
        <f>SUM(F28:F29)</f>
        <v>0</v>
      </c>
      <c r="G30" s="69">
        <f>SUM(G28:G29)</f>
        <v>0</v>
      </c>
      <c r="H30" s="69">
        <f>SUM(H28:H29)</f>
        <v>0</v>
      </c>
      <c r="I30" s="69">
        <f>SUM(I28:I29)</f>
        <v>0</v>
      </c>
      <c r="J30" s="54">
        <f t="shared" ref="J30:T30" si="4">SUM(J28:J29)</f>
        <v>0</v>
      </c>
      <c r="K30" s="54">
        <f t="shared" si="4"/>
        <v>0</v>
      </c>
      <c r="L30" s="69">
        <f t="shared" si="4"/>
        <v>0</v>
      </c>
      <c r="M30" s="69">
        <f t="shared" si="4"/>
        <v>0</v>
      </c>
      <c r="N30" s="69">
        <f t="shared" si="4"/>
        <v>0</v>
      </c>
      <c r="O30" s="69">
        <f t="shared" si="4"/>
        <v>0</v>
      </c>
      <c r="P30" s="69">
        <f t="shared" si="4"/>
        <v>0</v>
      </c>
      <c r="Q30" s="69">
        <f t="shared" si="4"/>
        <v>0</v>
      </c>
      <c r="R30" s="77">
        <f t="shared" si="4"/>
        <v>0</v>
      </c>
      <c r="S30" s="69">
        <f t="shared" si="4"/>
        <v>0</v>
      </c>
      <c r="T30" s="54">
        <f t="shared" si="4"/>
        <v>0</v>
      </c>
    </row>
    <row r="31" spans="1:20">
      <c r="A31" s="55" t="s">
        <v>35</v>
      </c>
      <c r="B31" s="56"/>
      <c r="C31" s="56"/>
      <c r="D31" s="57"/>
      <c r="E31" s="78"/>
      <c r="F31" s="79">
        <f>F30/F33</f>
        <v>0</v>
      </c>
      <c r="G31" s="60">
        <f t="shared" ref="G31:T31" si="5">G30/G33</f>
        <v>0</v>
      </c>
      <c r="H31" s="60">
        <f t="shared" si="5"/>
        <v>0</v>
      </c>
      <c r="I31" s="60">
        <f t="shared" si="5"/>
        <v>0</v>
      </c>
      <c r="J31" s="60">
        <f t="shared" si="5"/>
        <v>0</v>
      </c>
      <c r="K31" s="60">
        <f t="shared" si="5"/>
        <v>0</v>
      </c>
      <c r="L31" s="60">
        <f t="shared" si="5"/>
        <v>0</v>
      </c>
      <c r="M31" s="60">
        <f t="shared" si="5"/>
        <v>0</v>
      </c>
      <c r="N31" s="60">
        <f t="shared" si="5"/>
        <v>0</v>
      </c>
      <c r="O31" s="60">
        <f t="shared" si="5"/>
        <v>0</v>
      </c>
      <c r="P31" s="60">
        <f t="shared" si="5"/>
        <v>0</v>
      </c>
      <c r="Q31" s="60">
        <f t="shared" si="5"/>
        <v>0</v>
      </c>
      <c r="R31" s="60">
        <f t="shared" si="5"/>
        <v>0</v>
      </c>
      <c r="S31" s="60">
        <f t="shared" si="5"/>
        <v>0</v>
      </c>
      <c r="T31" s="60">
        <f t="shared" si="5"/>
        <v>0</v>
      </c>
    </row>
    <row r="32" spans="1:20">
      <c r="A32" s="67" t="s">
        <v>48</v>
      </c>
      <c r="B32" s="68"/>
      <c r="C32" s="68"/>
      <c r="D32" s="80">
        <f>D14+D25</f>
        <v>1675</v>
      </c>
      <c r="E32" s="81">
        <f>E25+E14</f>
        <v>176.3</v>
      </c>
      <c r="F32" s="54">
        <f t="shared" ref="F32:T32" si="6">SUM(F14,F25,F30)</f>
        <v>58.207000000000001</v>
      </c>
      <c r="G32" s="69">
        <f t="shared" si="6"/>
        <v>64.914666666666662</v>
      </c>
      <c r="H32" s="69">
        <f t="shared" si="6"/>
        <v>206.34333333333336</v>
      </c>
      <c r="I32" s="69">
        <f t="shared" si="6"/>
        <v>1664.4123333333337</v>
      </c>
      <c r="J32" s="54">
        <f t="shared" si="6"/>
        <v>1.4606666666666666</v>
      </c>
      <c r="K32" s="54">
        <f t="shared" si="6"/>
        <v>1.5403333333333333</v>
      </c>
      <c r="L32" s="69">
        <f t="shared" si="6"/>
        <v>60.339999999999996</v>
      </c>
      <c r="M32" s="54">
        <f t="shared" si="6"/>
        <v>30.145333333333337</v>
      </c>
      <c r="N32" s="54">
        <f t="shared" si="6"/>
        <v>9.5623333333333331</v>
      </c>
      <c r="O32" s="69">
        <f t="shared" si="6"/>
        <v>509.86833333333334</v>
      </c>
      <c r="P32" s="69">
        <f t="shared" si="6"/>
        <v>1048.9026666666666</v>
      </c>
      <c r="Q32" s="54">
        <f t="shared" si="6"/>
        <v>6.9978800000000003</v>
      </c>
      <c r="R32" s="77">
        <f t="shared" si="6"/>
        <v>7.5786666666666669E-2</v>
      </c>
      <c r="S32" s="54">
        <f t="shared" si="6"/>
        <v>312.13266666666664</v>
      </c>
      <c r="T32" s="54">
        <f t="shared" si="6"/>
        <v>14.557666666666668</v>
      </c>
    </row>
    <row r="33" spans="1:20">
      <c r="A33" s="82" t="s">
        <v>49</v>
      </c>
      <c r="B33" s="83"/>
      <c r="C33" s="83"/>
      <c r="D33" s="84"/>
      <c r="E33" s="85"/>
      <c r="F33" s="40">
        <v>90</v>
      </c>
      <c r="G33" s="61">
        <v>92</v>
      </c>
      <c r="H33" s="61">
        <v>383</v>
      </c>
      <c r="I33" s="61">
        <v>2720</v>
      </c>
      <c r="J33" s="40">
        <v>1.4</v>
      </c>
      <c r="K33" s="40">
        <v>1.6</v>
      </c>
      <c r="L33" s="39">
        <v>70</v>
      </c>
      <c r="M33" s="40">
        <v>0.9</v>
      </c>
      <c r="N33" s="39">
        <v>12</v>
      </c>
      <c r="O33" s="39">
        <v>1200</v>
      </c>
      <c r="P33" s="39">
        <v>1200</v>
      </c>
      <c r="Q33" s="39">
        <v>14</v>
      </c>
      <c r="R33" s="61">
        <v>0.1</v>
      </c>
      <c r="S33" s="39">
        <v>300</v>
      </c>
      <c r="T33" s="40">
        <v>18</v>
      </c>
    </row>
    <row r="34" spans="1:20">
      <c r="A34" s="55" t="s">
        <v>35</v>
      </c>
      <c r="B34" s="56"/>
      <c r="C34" s="56"/>
      <c r="D34" s="57"/>
      <c r="E34" s="78"/>
      <c r="F34" s="79">
        <f t="shared" ref="F34:T34" si="7">F32/F33</f>
        <v>0.64674444444444446</v>
      </c>
      <c r="G34" s="60">
        <f t="shared" si="7"/>
        <v>0.70559420289855068</v>
      </c>
      <c r="H34" s="60">
        <f t="shared" si="7"/>
        <v>0.53875543951261973</v>
      </c>
      <c r="I34" s="60">
        <f t="shared" si="7"/>
        <v>0.61191629901960798</v>
      </c>
      <c r="J34" s="60">
        <f t="shared" si="7"/>
        <v>1.0433333333333332</v>
      </c>
      <c r="K34" s="60">
        <f t="shared" si="7"/>
        <v>0.96270833333333328</v>
      </c>
      <c r="L34" s="86">
        <f t="shared" si="7"/>
        <v>0.86199999999999999</v>
      </c>
      <c r="M34" s="86">
        <f t="shared" si="7"/>
        <v>33.494814814814816</v>
      </c>
      <c r="N34" s="86">
        <f t="shared" si="7"/>
        <v>0.79686111111111113</v>
      </c>
      <c r="O34" s="60">
        <f t="shared" si="7"/>
        <v>0.42489027777777777</v>
      </c>
      <c r="P34" s="60">
        <f t="shared" si="7"/>
        <v>0.87408555555555556</v>
      </c>
      <c r="Q34" s="60">
        <f t="shared" si="7"/>
        <v>0.49984857142857148</v>
      </c>
      <c r="R34" s="86">
        <f t="shared" si="7"/>
        <v>0.75786666666666669</v>
      </c>
      <c r="S34" s="60">
        <f t="shared" si="7"/>
        <v>1.040442222222222</v>
      </c>
      <c r="T34" s="86">
        <f t="shared" si="7"/>
        <v>0.80875925925925929</v>
      </c>
    </row>
    <row r="35" spans="1:20">
      <c r="A35" s="87"/>
      <c r="B35" s="3"/>
      <c r="C35" s="3"/>
      <c r="D35" s="7"/>
      <c r="E35" s="7"/>
      <c r="F35" s="5"/>
      <c r="G35" s="7"/>
      <c r="H35" s="7"/>
      <c r="I35" s="7"/>
      <c r="J35" s="7"/>
      <c r="K35" s="7"/>
      <c r="L35" s="7"/>
      <c r="M35" s="88" t="s">
        <v>50</v>
      </c>
      <c r="N35" s="88"/>
      <c r="O35" s="88"/>
      <c r="P35" s="88"/>
      <c r="Q35" s="88"/>
      <c r="R35" s="88"/>
      <c r="S35" s="88"/>
      <c r="T35" s="88"/>
    </row>
  </sheetData>
  <mergeCells count="40">
    <mergeCell ref="A33:D33"/>
    <mergeCell ref="A34:D34"/>
    <mergeCell ref="M35:T35"/>
    <mergeCell ref="B24:C24"/>
    <mergeCell ref="A26:D26"/>
    <mergeCell ref="A27:T27"/>
    <mergeCell ref="B28:C28"/>
    <mergeCell ref="B29:C29"/>
    <mergeCell ref="A31:D31"/>
    <mergeCell ref="B18:C18"/>
    <mergeCell ref="B19:C19"/>
    <mergeCell ref="B20:C20"/>
    <mergeCell ref="B21:C21"/>
    <mergeCell ref="B22:C22"/>
    <mergeCell ref="B23:C23"/>
    <mergeCell ref="B11:C11"/>
    <mergeCell ref="B12:C12"/>
    <mergeCell ref="B13:C13"/>
    <mergeCell ref="A15:D15"/>
    <mergeCell ref="A16:T16"/>
    <mergeCell ref="B17:C17"/>
    <mergeCell ref="O4:T4"/>
    <mergeCell ref="B6:C6"/>
    <mergeCell ref="A7:T7"/>
    <mergeCell ref="B8:C8"/>
    <mergeCell ref="B9:C9"/>
    <mergeCell ref="B10:C10"/>
    <mergeCell ref="A4:A5"/>
    <mergeCell ref="B4:C5"/>
    <mergeCell ref="D4:D5"/>
    <mergeCell ref="F4:H4"/>
    <mergeCell ref="I4:I5"/>
    <mergeCell ref="J4:N4"/>
    <mergeCell ref="A1:T1"/>
    <mergeCell ref="G2:I2"/>
    <mergeCell ref="L2:M2"/>
    <mergeCell ref="N2:Q2"/>
    <mergeCell ref="D3:F3"/>
    <mergeCell ref="L3:M3"/>
    <mergeCell ref="N3:T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777</cp:lastModifiedBy>
  <dcterms:created xsi:type="dcterms:W3CDTF">2025-01-28T12:06:35Z</dcterms:created>
  <dcterms:modified xsi:type="dcterms:W3CDTF">2025-01-28T12:06:59Z</dcterms:modified>
</cp:coreProperties>
</file>